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chiu\Documents\!Projects-Finished\WHO-IPCS\!Errata\"/>
    </mc:Choice>
  </mc:AlternateContent>
  <bookViews>
    <workbookView xWindow="0" yWindow="0" windowWidth="28800" windowHeight="11025"/>
  </bookViews>
  <sheets>
    <sheet name="Wksht.LCL,UCL" sheetId="9" r:id="rId1"/>
    <sheet name="Provisional Parameter Values" sheetId="2" r:id="rId2"/>
    <sheet name="Pick Lists" sheetId="6" r:id="rId3"/>
  </sheets>
  <definedNames>
    <definedName name="AllomExponentMedian">'Provisional Parameter Values'!$A$37</definedName>
    <definedName name="AllomExponentSD">'Provisional Parameter Values'!$A$39</definedName>
    <definedName name="ContBMRDefault">'Provisional Parameter Values'!$A$13</definedName>
    <definedName name="DataDuration">'Pick Lists'!$C$2:$C$5</definedName>
    <definedName name="DataRoute">'Pick Lists'!$B$2:$B$4</definedName>
    <definedName name="DataSpecies">'Pick Lists'!$D$2:$D$5</definedName>
    <definedName name="DataType">'Pick Lists'!$A$2:$A$4</definedName>
    <definedName name="DogBWDefault">'Provisional Parameter Values'!$A$9</definedName>
    <definedName name="HumanBWDefault">'Provisional Parameter Values'!$A$3</definedName>
    <definedName name="InterTKTDGSD">'Provisional Parameter Values'!$A$43</definedName>
    <definedName name="InterTKTDMedian">'Provisional Parameter Values'!$A$41</definedName>
    <definedName name="LogGSDHGSDU">'Provisional Parameter Values'!$A$47</definedName>
    <definedName name="LogGSDHMedian">'Provisional Parameter Values'!$A$45</definedName>
    <definedName name="MouseBWDefault">'Provisional Parameter Values'!$A$7</definedName>
    <definedName name="NOAELUncertContChrSubChrGSD">'Provisional Parameter Values'!$A$31</definedName>
    <definedName name="NOAELUncertContChrSubChrMedian">'Provisional Parameter Values'!$A$29</definedName>
    <definedName name="NOAELUncertContReproDevGSD">'Provisional Parameter Values'!$A$35</definedName>
    <definedName name="NOAELUncertContReproDevMedian">'Provisional Parameter Values'!$A$33</definedName>
    <definedName name="NOAELUncertQuantalDeterGSD">'Provisional Parameter Values'!$A$23</definedName>
    <definedName name="NOAELUncertQuantalDeterMedian">'Provisional Parameter Values'!$A$21</definedName>
    <definedName name="NOAELUncertQuantalGSD">'Provisional Parameter Values'!$A$27</definedName>
    <definedName name="NOAELUncertQuantalMedian">'Provisional Parameter Values'!$A$25</definedName>
    <definedName name="NOAELUncertQuantalStochGSD">'Provisional Parameter Values'!$A$27</definedName>
    <definedName name="NOAELUncertQuantalStochMedian">'Provisional Parameter Values'!$A$25</definedName>
    <definedName name="PODtype">'Pick Lists'!$E$2:$E$4</definedName>
    <definedName name="PODUncertNOAEL">'Provisional Parameter Values'!$A$19</definedName>
    <definedName name="QuantalDeterNOAELEffectCorrection">'Provisional Parameter Values'!$A$21</definedName>
    <definedName name="QuantalDeterNOAELEffectCorrGSD">'Provisional Parameter Values'!$A$23</definedName>
    <definedName name="QuantalDeterNOAELEffectCorrMedian">'Provisional Parameter Values'!$A$21</definedName>
    <definedName name="QuantDeterBMRDefault">'Provisional Parameter Values'!$A$15</definedName>
    <definedName name="QuantStochBMRDefault">'Provisional Parameter Values'!$A$17</definedName>
    <definedName name="RabbitBWDefault">'Provisional Parameter Values'!$A$11</definedName>
    <definedName name="RatBWDefault">'Provisional Parameter Values'!$A$5</definedName>
    <definedName name="SubacuteChronicGSD">'Provisional Parameter Values'!$A$55</definedName>
    <definedName name="SubacuteChronicMedian">'Provisional Parameter Values'!$A$53</definedName>
    <definedName name="SubchronicChronicGSD">'Provisional Parameter Values'!$A$51</definedName>
    <definedName name="SubchronicChronicMedian">'Provisional Parameter Values'!$A$49</definedName>
  </definedNames>
  <calcPr calcId="152511"/>
</workbook>
</file>

<file path=xl/calcChain.xml><?xml version="1.0" encoding="utf-8"?>
<calcChain xmlns="http://schemas.openxmlformats.org/spreadsheetml/2006/main">
  <c r="D61" i="9" l="1"/>
  <c r="D17" i="9"/>
  <c r="D10" i="9" l="1"/>
  <c r="D12" i="9" l="1"/>
  <c r="C61" i="9" l="1"/>
  <c r="B61" i="9"/>
  <c r="B14" i="9"/>
  <c r="D11" i="9"/>
  <c r="B11" i="9" s="1"/>
  <c r="B10" i="9"/>
  <c r="D18" i="9"/>
  <c r="B18" i="9" s="1"/>
  <c r="A29" i="2"/>
  <c r="A31" i="2"/>
  <c r="D27" i="9" s="1"/>
  <c r="C27" i="9" s="1"/>
  <c r="D28" i="9"/>
  <c r="C28" i="9" s="1"/>
  <c r="B12" i="9"/>
  <c r="B20" i="9"/>
  <c r="H129" i="9" s="1"/>
  <c r="D60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12" i="9"/>
  <c r="I111" i="9"/>
  <c r="H131" i="9"/>
  <c r="H128" i="9"/>
  <c r="H127" i="9"/>
  <c r="H124" i="9"/>
  <c r="H123" i="9"/>
  <c r="H120" i="9"/>
  <c r="H119" i="9"/>
  <c r="H116" i="9"/>
  <c r="H115" i="9"/>
  <c r="H112" i="9"/>
  <c r="C67" i="9"/>
  <c r="F42" i="9"/>
  <c r="F40" i="9"/>
  <c r="F38" i="9"/>
  <c r="C66" i="9"/>
  <c r="A89" i="9" s="1"/>
  <c r="A45" i="2"/>
  <c r="A47" i="2"/>
  <c r="D35" i="9"/>
  <c r="C35" i="9" s="1"/>
  <c r="D36" i="9"/>
  <c r="C36" i="9" s="1"/>
  <c r="A43" i="2"/>
  <c r="C73" i="9"/>
  <c r="C72" i="9"/>
  <c r="C71" i="9"/>
  <c r="E111" i="9" s="1"/>
  <c r="C70" i="9"/>
  <c r="C69" i="9"/>
  <c r="C68" i="9"/>
  <c r="B60" i="9"/>
  <c r="F41" i="9"/>
  <c r="C41" i="9"/>
  <c r="H41" i="9"/>
  <c r="H42" i="9"/>
  <c r="I42" i="9" s="1"/>
  <c r="J41" i="9" s="1"/>
  <c r="C40" i="9"/>
  <c r="F39" i="9"/>
  <c r="C39" i="9"/>
  <c r="H39" i="9" s="1"/>
  <c r="H40" i="9" s="1"/>
  <c r="I40" i="9" s="1"/>
  <c r="J39" i="9" s="1"/>
  <c r="F37" i="9"/>
  <c r="H37" i="9"/>
  <c r="H38" i="9"/>
  <c r="I38" i="9" s="1"/>
  <c r="J37" i="9" s="1"/>
  <c r="F35" i="9"/>
  <c r="D34" i="9"/>
  <c r="C34" i="9" s="1"/>
  <c r="F33" i="9"/>
  <c r="D33" i="9"/>
  <c r="C33" i="9" s="1"/>
  <c r="D32" i="9"/>
  <c r="C32" i="9"/>
  <c r="F31" i="9"/>
  <c r="D31" i="9"/>
  <c r="C31" i="9" s="1"/>
  <c r="F29" i="9"/>
  <c r="A33" i="2"/>
  <c r="A35" i="2"/>
  <c r="F27" i="9"/>
  <c r="C26" i="9"/>
  <c r="C25" i="9"/>
  <c r="F25" i="9"/>
  <c r="B59" i="9"/>
  <c r="G111" i="9"/>
  <c r="F111" i="9"/>
  <c r="D111" i="9"/>
  <c r="C111" i="9"/>
  <c r="B111" i="9"/>
  <c r="A39" i="2"/>
  <c r="H25" i="9"/>
  <c r="H26" i="9" s="1"/>
  <c r="I26" i="9" s="1"/>
  <c r="J25" i="9" s="1"/>
  <c r="A27" i="2"/>
  <c r="A23" i="2"/>
  <c r="A25" i="2"/>
  <c r="A21" i="2"/>
  <c r="A55" i="2"/>
  <c r="A51" i="2"/>
  <c r="B58" i="9" l="1"/>
  <c r="D54" i="9"/>
  <c r="D53" i="9"/>
  <c r="D46" i="9"/>
  <c r="D45" i="9"/>
  <c r="A90" i="9"/>
  <c r="B89" i="9"/>
  <c r="C89" i="9" s="1"/>
  <c r="A112" i="9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H114" i="9"/>
  <c r="H118" i="9"/>
  <c r="H122" i="9"/>
  <c r="H126" i="9"/>
  <c r="H130" i="9"/>
  <c r="H113" i="9"/>
  <c r="H117" i="9"/>
  <c r="H121" i="9"/>
  <c r="H125" i="9"/>
  <c r="H35" i="9"/>
  <c r="H31" i="9"/>
  <c r="H32" i="9" s="1"/>
  <c r="I32" i="9" s="1"/>
  <c r="H33" i="9"/>
  <c r="H34" i="9" s="1"/>
  <c r="I34" i="9" s="1"/>
  <c r="H36" i="9"/>
  <c r="I36" i="9" s="1"/>
  <c r="H27" i="9"/>
  <c r="D30" i="9"/>
  <c r="C30" i="9" s="1"/>
  <c r="D29" i="9"/>
  <c r="C29" i="9" s="1"/>
  <c r="A91" i="9" l="1"/>
  <c r="B90" i="9"/>
  <c r="C90" i="9" s="1"/>
  <c r="H28" i="9"/>
  <c r="H29" i="9"/>
  <c r="A92" i="9" l="1"/>
  <c r="B91" i="9"/>
  <c r="C91" i="9" s="1"/>
  <c r="I44" i="9"/>
  <c r="H30" i="9"/>
  <c r="I30" i="9" s="1"/>
  <c r="H44" i="9"/>
  <c r="D91" i="9"/>
  <c r="I28" i="9"/>
  <c r="D89" i="9"/>
  <c r="D90" i="9"/>
  <c r="B92" i="9" l="1"/>
  <c r="A93" i="9"/>
  <c r="H45" i="9"/>
  <c r="C45" i="9" s="1"/>
  <c r="I45" i="9"/>
  <c r="E91" i="9"/>
  <c r="D114" i="9" s="1"/>
  <c r="E89" i="9"/>
  <c r="D112" i="9" s="1"/>
  <c r="E90" i="9"/>
  <c r="B113" i="9" s="1"/>
  <c r="D56" i="9" l="1"/>
  <c r="J33" i="9"/>
  <c r="C46" i="9"/>
  <c r="A94" i="9"/>
  <c r="B93" i="9"/>
  <c r="C92" i="9"/>
  <c r="E92" i="9" s="1"/>
  <c r="D92" i="9"/>
  <c r="C114" i="9"/>
  <c r="J27" i="9"/>
  <c r="E113" i="9"/>
  <c r="E114" i="9"/>
  <c r="J35" i="9"/>
  <c r="J31" i="9"/>
  <c r="J29" i="9"/>
  <c r="D48" i="9"/>
  <c r="C113" i="9"/>
  <c r="C112" i="9"/>
  <c r="E112" i="9"/>
  <c r="B114" i="9"/>
  <c r="C47" i="9"/>
  <c r="C54" i="9"/>
  <c r="F113" i="9"/>
  <c r="D113" i="9"/>
  <c r="F112" i="9"/>
  <c r="G112" i="9"/>
  <c r="G114" i="9"/>
  <c r="F114" i="9"/>
  <c r="C53" i="9"/>
  <c r="A58" i="9"/>
  <c r="G113" i="9"/>
  <c r="B112" i="9"/>
  <c r="D115" i="9" l="1"/>
  <c r="F115" i="9"/>
  <c r="E115" i="9"/>
  <c r="B115" i="9"/>
  <c r="C115" i="9"/>
  <c r="G115" i="9"/>
  <c r="C93" i="9"/>
  <c r="E93" i="9" s="1"/>
  <c r="D93" i="9"/>
  <c r="A95" i="9"/>
  <c r="B94" i="9"/>
  <c r="J45" i="9"/>
  <c r="D55" i="9"/>
  <c r="A96" i="9" l="1"/>
  <c r="B95" i="9"/>
  <c r="D116" i="9"/>
  <c r="F116" i="9"/>
  <c r="E116" i="9"/>
  <c r="C116" i="9"/>
  <c r="G116" i="9"/>
  <c r="B116" i="9"/>
  <c r="C94" i="9"/>
  <c r="E94" i="9" s="1"/>
  <c r="D94" i="9"/>
  <c r="B117" i="9" l="1"/>
  <c r="G117" i="9"/>
  <c r="C117" i="9"/>
  <c r="D117" i="9"/>
  <c r="F117" i="9"/>
  <c r="E117" i="9"/>
  <c r="C95" i="9"/>
  <c r="E95" i="9" s="1"/>
  <c r="D95" i="9"/>
  <c r="B96" i="9"/>
  <c r="A97" i="9"/>
  <c r="B118" i="9" l="1"/>
  <c r="E118" i="9"/>
  <c r="F118" i="9"/>
  <c r="D118" i="9"/>
  <c r="G118" i="9"/>
  <c r="C118" i="9"/>
  <c r="A98" i="9"/>
  <c r="B97" i="9"/>
  <c r="C96" i="9"/>
  <c r="E96" i="9" s="1"/>
  <c r="D96" i="9"/>
  <c r="C119" i="9" l="1"/>
  <c r="C97" i="9"/>
  <c r="E97" i="9" s="1"/>
  <c r="D97" i="9"/>
  <c r="A99" i="9"/>
  <c r="B98" i="9"/>
  <c r="E119" i="9"/>
  <c r="F119" i="9"/>
  <c r="B119" i="9"/>
  <c r="G119" i="9"/>
  <c r="D119" i="9"/>
  <c r="C120" i="9" l="1"/>
  <c r="C98" i="9"/>
  <c r="E98" i="9" s="1"/>
  <c r="D98" i="9"/>
  <c r="A100" i="9"/>
  <c r="B99" i="9"/>
  <c r="E120" i="9"/>
  <c r="G120" i="9"/>
  <c r="B120" i="9"/>
  <c r="D120" i="9"/>
  <c r="F120" i="9"/>
  <c r="D121" i="9" l="1"/>
  <c r="B100" i="9"/>
  <c r="A101" i="9"/>
  <c r="C99" i="9"/>
  <c r="E99" i="9" s="1"/>
  <c r="D99" i="9"/>
  <c r="E121" i="9"/>
  <c r="F121" i="9"/>
  <c r="G121" i="9"/>
  <c r="B121" i="9"/>
  <c r="C121" i="9"/>
  <c r="G122" i="9" l="1"/>
  <c r="B122" i="9"/>
  <c r="E122" i="9"/>
  <c r="F122" i="9"/>
  <c r="C122" i="9"/>
  <c r="D122" i="9"/>
  <c r="A102" i="9"/>
  <c r="B101" i="9"/>
  <c r="C100" i="9"/>
  <c r="E100" i="9" s="1"/>
  <c r="G123" i="9" s="1"/>
  <c r="D100" i="9"/>
  <c r="C101" i="9" l="1"/>
  <c r="E101" i="9" s="1"/>
  <c r="D101" i="9"/>
  <c r="A103" i="9"/>
  <c r="B102" i="9"/>
  <c r="C123" i="9"/>
  <c r="F123" i="9"/>
  <c r="B123" i="9"/>
  <c r="E123" i="9"/>
  <c r="D123" i="9"/>
  <c r="D124" i="9" l="1"/>
  <c r="C102" i="9"/>
  <c r="E102" i="9" s="1"/>
  <c r="G125" i="9" s="1"/>
  <c r="D102" i="9"/>
  <c r="A104" i="9"/>
  <c r="B103" i="9"/>
  <c r="B124" i="9"/>
  <c r="G124" i="9"/>
  <c r="E124" i="9"/>
  <c r="F124" i="9"/>
  <c r="C124" i="9"/>
  <c r="C103" i="9" l="1"/>
  <c r="E103" i="9" s="1"/>
  <c r="D103" i="9"/>
  <c r="B104" i="9"/>
  <c r="A105" i="9"/>
  <c r="D125" i="9"/>
  <c r="C125" i="9"/>
  <c r="F125" i="9"/>
  <c r="B125" i="9"/>
  <c r="E125" i="9"/>
  <c r="C104" i="9" l="1"/>
  <c r="E104" i="9" s="1"/>
  <c r="D104" i="9"/>
  <c r="A106" i="9"/>
  <c r="B105" i="9"/>
  <c r="D126" i="9"/>
  <c r="B126" i="9"/>
  <c r="G126" i="9"/>
  <c r="E126" i="9"/>
  <c r="C126" i="9"/>
  <c r="F126" i="9"/>
  <c r="C105" i="9" l="1"/>
  <c r="E105" i="9" s="1"/>
  <c r="D105" i="9"/>
  <c r="A107" i="9"/>
  <c r="B106" i="9"/>
  <c r="G127" i="9"/>
  <c r="B127" i="9"/>
  <c r="E127" i="9"/>
  <c r="F127" i="9"/>
  <c r="D127" i="9"/>
  <c r="C127" i="9"/>
  <c r="C106" i="9" l="1"/>
  <c r="E106" i="9" s="1"/>
  <c r="D106" i="9"/>
  <c r="A108" i="9"/>
  <c r="B108" i="9" s="1"/>
  <c r="B107" i="9"/>
  <c r="G128" i="9"/>
  <c r="B128" i="9"/>
  <c r="D128" i="9"/>
  <c r="F128" i="9"/>
  <c r="E128" i="9"/>
  <c r="C128" i="9"/>
  <c r="C129" i="9" l="1"/>
  <c r="C108" i="9"/>
  <c r="E108" i="9" s="1"/>
  <c r="C131" i="9" s="1"/>
  <c r="D108" i="9"/>
  <c r="C107" i="9"/>
  <c r="E107" i="9" s="1"/>
  <c r="D107" i="9"/>
  <c r="B129" i="9"/>
  <c r="F129" i="9"/>
  <c r="D129" i="9"/>
  <c r="E129" i="9"/>
  <c r="G129" i="9"/>
  <c r="G130" i="9" l="1"/>
  <c r="E130" i="9"/>
  <c r="B130" i="9"/>
  <c r="C130" i="9"/>
  <c r="F130" i="9"/>
  <c r="D130" i="9"/>
  <c r="D131" i="9"/>
  <c r="E131" i="9"/>
  <c r="B131" i="9"/>
  <c r="G131" i="9"/>
  <c r="F131" i="9"/>
</calcChain>
</file>

<file path=xl/sharedStrings.xml><?xml version="1.0" encoding="utf-8"?>
<sst xmlns="http://schemas.openxmlformats.org/spreadsheetml/2006/main" count="278" uniqueCount="199">
  <si>
    <t>P50</t>
  </si>
  <si>
    <t>P95/P50</t>
  </si>
  <si>
    <t>BMDL</t>
  </si>
  <si>
    <t>NOAEL</t>
  </si>
  <si>
    <t>Data type</t>
  </si>
  <si>
    <t>Continuous</t>
  </si>
  <si>
    <t>Interspecies scaling</t>
  </si>
  <si>
    <t>DataType</t>
  </si>
  <si>
    <t>PODType</t>
  </si>
  <si>
    <t>Case-specific</t>
  </si>
  <si>
    <t>Other aspect #1</t>
  </si>
  <si>
    <t>Other aspect #2</t>
  </si>
  <si>
    <t>Other aspect #3</t>
  </si>
  <si>
    <t>DataDuration</t>
  </si>
  <si>
    <t>DataSpecies</t>
  </si>
  <si>
    <t>Rat</t>
  </si>
  <si>
    <t>Mouse</t>
  </si>
  <si>
    <t>Data route</t>
  </si>
  <si>
    <t>DataRoute</t>
  </si>
  <si>
    <t>Oral</t>
  </si>
  <si>
    <t>Chronic</t>
  </si>
  <si>
    <t>Subchronic</t>
  </si>
  <si>
    <t>Subacute</t>
  </si>
  <si>
    <t>INPUTS</t>
  </si>
  <si>
    <t>5%, 1%, 0.1%, 0.01%</t>
  </si>
  <si>
    <t>STANDARD VALUE(S)</t>
  </si>
  <si>
    <t>RatBWDefault</t>
  </si>
  <si>
    <t>MouseBWDefault</t>
  </si>
  <si>
    <t>ContBMRDefault</t>
  </si>
  <si>
    <t>QuantDeterBMRDefault</t>
  </si>
  <si>
    <t>QuantStochBMRDefault</t>
  </si>
  <si>
    <t>HumanBWDefault</t>
  </si>
  <si>
    <t>AllomExponentMedian</t>
  </si>
  <si>
    <t>AllomExponentSD</t>
  </si>
  <si>
    <t>InterTKTDGSD</t>
  </si>
  <si>
    <t xml:space="preserve">     (Description here)</t>
  </si>
  <si>
    <t xml:space="preserve">     (Allometric for oral)</t>
  </si>
  <si>
    <t>Repro/Developmental</t>
  </si>
  <si>
    <t>PODUncertNOAEL</t>
  </si>
  <si>
    <t>InterTKTDMedian</t>
  </si>
  <si>
    <t>Calculated</t>
  </si>
  <si>
    <t>Intraspecies</t>
  </si>
  <si>
    <t>NOTES</t>
  </si>
  <si>
    <t>a</t>
  </si>
  <si>
    <t>b</t>
  </si>
  <si>
    <t>c</t>
  </si>
  <si>
    <t>d</t>
  </si>
  <si>
    <t>e</t>
  </si>
  <si>
    <t>f</t>
  </si>
  <si>
    <t>g</t>
  </si>
  <si>
    <t>NOTES:</t>
  </si>
  <si>
    <t>Parameter and value</t>
  </si>
  <si>
    <t>Description</t>
  </si>
  <si>
    <t>Assumed uncertainty in the BMD for a study that only has a LOAEL or NOAEL.</t>
  </si>
  <si>
    <t>Default body weight for humans, used in allometric scaling of oral doses.</t>
  </si>
  <si>
    <t>Default body weight for rats, used in allometric scaling of oral doses.</t>
  </si>
  <si>
    <t>Default body weight for mice, used in allometric scaling of oral doses.</t>
  </si>
  <si>
    <t>Median estimate of exponent using in allometric scaling by body weight.</t>
  </si>
  <si>
    <t>Median estimate of remaining chemical-specific TK and TD uncertainty after allometric scaling.</t>
  </si>
  <si>
    <t>Geometric standard deviation (GSD) of chemical-specific TK and TD uncertainty after allometric scaling.</t>
  </si>
  <si>
    <t>h</t>
  </si>
  <si>
    <t>Non-Prob.</t>
  </si>
  <si>
    <t>Study type</t>
  </si>
  <si>
    <t>Test species</t>
  </si>
  <si>
    <t>Fold Range of Uncertainty</t>
  </si>
  <si>
    <t>of the population will have</t>
  </si>
  <si>
    <t>NOAELUncertContReproDevMedian</t>
  </si>
  <si>
    <t>NOAELUncertContChrSubChrMedian</t>
  </si>
  <si>
    <t>NOAELUncertContChrSubChrGSD</t>
  </si>
  <si>
    <t>Calculated from inputs</t>
  </si>
  <si>
    <t>d - Uncertainty in NOAELs as surrogate for BMD.</t>
  </si>
  <si>
    <t>LCL</t>
  </si>
  <si>
    <t>UCL</t>
  </si>
  <si>
    <t>Probabilistic coverage goal</t>
  </si>
  <si>
    <t>confidence</t>
  </si>
  <si>
    <t>SubchronicChronicMedian</t>
  </si>
  <si>
    <t>SubchronicChronicGSD</t>
  </si>
  <si>
    <t>SubacuteChronicMedian</t>
  </si>
  <si>
    <t>SubacuteChronicGSD</t>
  </si>
  <si>
    <t>Uncertainty (median estimate) in using subchronic study as surrogate for chronic study.</t>
  </si>
  <si>
    <t>Uncertainty (GSD) in using subchronic study as surrogate for chronic study.</t>
  </si>
  <si>
    <t>Uncertainty (GSD) in using subacute study as surrogate for chronic study.</t>
  </si>
  <si>
    <t>Comments</t>
  </si>
  <si>
    <t>Approx. Prob.</t>
  </si>
  <si>
    <t>APPROXIMATE PROBABILISTIC ANALYSIS OUTPUTS</t>
  </si>
  <si>
    <t>NOAELUncertQuantalStochMedian</t>
  </si>
  <si>
    <t>NOAELUncertQuantalStochGSD</t>
  </si>
  <si>
    <t>NOAELUncertQuantalDeterMedian</t>
  </si>
  <si>
    <t>NOAELUncertQuantalDeterGSD</t>
  </si>
  <si>
    <t>Standard Confidence Interval</t>
  </si>
  <si>
    <t>LCL (P05)</t>
  </si>
  <si>
    <t>UCL (P95)</t>
  </si>
  <si>
    <t>g - Depends on population incidence protection goal.</t>
  </si>
  <si>
    <t>f - Accounts for case-specific deviation from the general interspecies scaling.</t>
  </si>
  <si>
    <t xml:space="preserve">e - Allometric scaling for oral dosing using user input body weights. </t>
  </si>
  <si>
    <t xml:space="preserve">      For BMD, assumes LCL=BMDL, UCL=BMDU.</t>
  </si>
  <si>
    <t>GENERAL APPROACH</t>
  </si>
  <si>
    <r>
      <rPr>
        <b/>
        <sz val="11"/>
        <color indexed="8"/>
        <rFont val="Calibri"/>
        <family val="2"/>
      </rPr>
      <t>Non-probabilistic analysis</t>
    </r>
    <r>
      <rPr>
        <sz val="11"/>
        <color theme="1"/>
        <rFont val="Calibri"/>
        <family val="2"/>
        <scheme val="minor"/>
      </rPr>
      <t xml:space="preserve"> multiplies together conservative or non-conservative confidence limits (P05 or P95) for each uncertainty.</t>
    </r>
  </si>
  <si>
    <r>
      <rPr>
        <b/>
        <sz val="11"/>
        <color indexed="8"/>
        <rFont val="Calibri"/>
        <family val="2"/>
      </rPr>
      <t>Approximate probabilistic (Approx. Prob.) analysis</t>
    </r>
    <r>
      <rPr>
        <sz val="11"/>
        <color theme="1"/>
        <rFont val="Calibri"/>
        <family val="2"/>
        <scheme val="minor"/>
      </rPr>
      <t xml:space="preserve"> combines uncertainties probabilistically assuming independent lognormal distributions.</t>
    </r>
  </si>
  <si>
    <t>HAZARD CHARACTERIZATION ASPECT</t>
  </si>
  <si>
    <t>DESCRIPTION</t>
  </si>
  <si>
    <t>i</t>
  </si>
  <si>
    <t>j - Non-probabilistic LCL = LCL on POD / Product of UCLs of Each Aspect.</t>
  </si>
  <si>
    <t>k - Non-probabilistic UCL = UCL on POD / Product of LCLs of Each Aspect.</t>
  </si>
  <si>
    <t>Defines Lower Confidence Limit (LCL) = P05; Upper Confidence Limit (UCL) = P95. Given P50 and P95/P50, assumes P05 = P50/(P95/P50).  Given P05 and P95, assumes P50=sqrt(P05*P95).</t>
  </si>
  <si>
    <t>NOAELUncertContReproDevGSD</t>
  </si>
  <si>
    <t>ASPECT</t>
  </si>
  <si>
    <t>NOAEL to BMD</t>
  </si>
  <si>
    <t>*Based on approximate probabilistic analysis, below.</t>
  </si>
  <si>
    <t>TITLE:</t>
  </si>
  <si>
    <t>USER NOTES:</t>
  </si>
  <si>
    <t>[User can enter any notes here]</t>
  </si>
  <si>
    <t>Inhalation</t>
  </si>
  <si>
    <t>Dermal</t>
  </si>
  <si>
    <t xml:space="preserve">      User must supply for inhalation or dermal.</t>
  </si>
  <si>
    <t>Coverage</t>
  </si>
  <si>
    <t>Intra P50</t>
  </si>
  <si>
    <t>[log(P95/P50)]^2</t>
  </si>
  <si>
    <t>% contribution</t>
  </si>
  <si>
    <t>to overall uncertainty</t>
  </si>
  <si>
    <t>Greatest contributor</t>
  </si>
  <si>
    <t>(decending order)</t>
  </si>
  <si>
    <t>Degree of Uncertainty (Fold Range)</t>
  </si>
  <si>
    <t>INPUTS RELATED TO GRAPHICAL DISPLAY</t>
  </si>
  <si>
    <t>INTERMEDIATE CALCULATIONS FOR GRAPHICAL DISPLAY</t>
  </si>
  <si>
    <t>Deterministic RfD</t>
  </si>
  <si>
    <t>Estimated "Coverage" of Deterministic RfD</t>
  </si>
  <si>
    <t>COMMON VALUE(S)</t>
  </si>
  <si>
    <t>PROVISIONAL VALUE(S)</t>
  </si>
  <si>
    <t>INTERMEDIATE CALCULATIONS FOR UNCERTAINTY ANALYSES</t>
  </si>
  <si>
    <t>Coverage percentages shown</t>
  </si>
  <si>
    <t>UCL/P50</t>
  </si>
  <si>
    <t>Table 4.6</t>
  </si>
  <si>
    <t>LogGSDHMedian</t>
  </si>
  <si>
    <t>LogGSDHGSDU</t>
  </si>
  <si>
    <t>Intra P95/P50</t>
  </si>
  <si>
    <t>[User-defined title]</t>
  </si>
  <si>
    <t>Interspecies TK/TD</t>
  </si>
  <si>
    <t>End-point</t>
  </si>
  <si>
    <t>INPUTS RELATED TO STUDY, END-POINT AND PROTECTION GOALS</t>
  </si>
  <si>
    <t>INPUTS RELATED TO ADJUSTMENT, VARIABILITY AND UNCERTAINTY</t>
  </si>
  <si>
    <r>
      <t>Target Human Dose (HD</t>
    </r>
    <r>
      <rPr>
        <b/>
        <vertAlign val="subscript"/>
        <sz val="11"/>
        <color indexed="8"/>
        <rFont val="Calibri"/>
        <family val="2"/>
      </rPr>
      <t>M</t>
    </r>
    <r>
      <rPr>
        <b/>
        <vertAlign val="superscript"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>)</t>
    </r>
  </si>
  <si>
    <r>
      <t>Estimated "Coverage" of Non-Prob. LCL of HD</t>
    </r>
    <r>
      <rPr>
        <b/>
        <vertAlign val="subscript"/>
        <sz val="11"/>
        <color indexed="8"/>
        <rFont val="Calibri"/>
        <family val="2"/>
      </rPr>
      <t>M</t>
    </r>
    <r>
      <rPr>
        <b/>
        <vertAlign val="superscript"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>*</t>
    </r>
  </si>
  <si>
    <r>
      <t>HD</t>
    </r>
    <r>
      <rPr>
        <b/>
        <vertAlign val="subscript"/>
        <sz val="11"/>
        <color indexed="8"/>
        <rFont val="Calibri"/>
        <family val="2"/>
      </rPr>
      <t>M</t>
    </r>
    <r>
      <rPr>
        <b/>
        <vertAlign val="superscript"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 xml:space="preserve"> P50</t>
    </r>
  </si>
  <si>
    <t>User supplied</t>
  </si>
  <si>
    <t>PoD units</t>
  </si>
  <si>
    <t>PoD type</t>
  </si>
  <si>
    <t>PoD value</t>
  </si>
  <si>
    <t>Deterministic overall AF</t>
  </si>
  <si>
    <t>PoD</t>
  </si>
  <si>
    <t>Duration extrapolation</t>
  </si>
  <si>
    <t xml:space="preserve">Probabilistic RfD  </t>
  </si>
  <si>
    <t>Standard deviation of estimate of exponent using in allometric scaling by body weight (based on 95% CI of 0.66-0.74)</t>
  </si>
  <si>
    <r>
      <t>Median estimate of the Log(GSD</t>
    </r>
    <r>
      <rPr>
        <vertAlign val="subscript"/>
        <sz val="11"/>
        <color indexed="8"/>
        <rFont val="Calibri"/>
        <family val="2"/>
      </rPr>
      <t>H</t>
    </r>
    <r>
      <rPr>
        <sz val="11"/>
        <color theme="1"/>
        <rFont val="Calibri"/>
        <family val="2"/>
        <scheme val="minor"/>
      </rPr>
      <t>) for human variability.</t>
    </r>
  </si>
  <si>
    <r>
      <t>GSD</t>
    </r>
    <r>
      <rPr>
        <vertAlign val="subscript"/>
        <sz val="11"/>
        <color indexed="8"/>
        <rFont val="Calibri"/>
        <family val="2"/>
      </rPr>
      <t>U</t>
    </r>
    <r>
      <rPr>
        <sz val="11"/>
        <color theme="1"/>
        <rFont val="Calibri"/>
        <family val="2"/>
        <scheme val="minor"/>
      </rPr>
      <t xml:space="preserve"> of the Log(GSD</t>
    </r>
    <r>
      <rPr>
        <vertAlign val="subscript"/>
        <sz val="11"/>
        <color indexed="8"/>
        <rFont val="Calibri"/>
        <family val="2"/>
      </rPr>
      <t>H</t>
    </r>
    <r>
      <rPr>
        <sz val="11"/>
        <color theme="1"/>
        <rFont val="Calibri"/>
        <family val="2"/>
        <scheme val="minor"/>
      </rPr>
      <t>) for human variability = (P95/P50)^(1/1.645).</t>
    </r>
  </si>
  <si>
    <t>Uncertainty (median estimate) in using subacute study as surrogate for chronic study.</t>
  </si>
  <si>
    <r>
      <t xml:space="preserve">NON-PROBABILISTIC ANALYSIS OUTPUTS </t>
    </r>
    <r>
      <rPr>
        <b/>
        <vertAlign val="superscript"/>
        <sz val="11"/>
        <color indexed="8"/>
        <rFont val="Calibri"/>
        <family val="2"/>
      </rPr>
      <t>j,k</t>
    </r>
  </si>
  <si>
    <r>
      <t>= Approximate probabilistic HD</t>
    </r>
    <r>
      <rPr>
        <vertAlign val="subscript"/>
        <sz val="11"/>
        <color indexed="8"/>
        <rFont val="Calibri"/>
        <family val="2"/>
      </rPr>
      <t>M</t>
    </r>
    <r>
      <rPr>
        <vertAlign val="superscript"/>
        <sz val="11"/>
        <color indexed="8"/>
        <rFont val="Calibri"/>
        <family val="2"/>
      </rPr>
      <t>I</t>
    </r>
    <r>
      <rPr>
        <sz val="11"/>
        <color theme="1"/>
        <rFont val="Calibri"/>
        <family val="2"/>
        <scheme val="minor"/>
      </rPr>
      <t xml:space="preserve"> at specified % confidence</t>
    </r>
  </si>
  <si>
    <r>
      <t xml:space="preserve">      For deterministic quantal effects, also includes adjustment from NOAEL to ED</t>
    </r>
    <r>
      <rPr>
        <vertAlign val="subscript"/>
        <sz val="11"/>
        <color indexed="8"/>
        <rFont val="Calibri"/>
        <family val="2"/>
      </rPr>
      <t>50</t>
    </r>
    <r>
      <rPr>
        <sz val="11"/>
        <color theme="1"/>
        <rFont val="Calibri"/>
        <family val="2"/>
        <scheme val="minor"/>
      </rPr>
      <t>.</t>
    </r>
  </si>
  <si>
    <r>
      <t xml:space="preserve">     =10^(NORMSINV(1-C13) * Log(GSD</t>
    </r>
    <r>
      <rPr>
        <vertAlign val="subscript"/>
        <sz val="11"/>
        <color indexed="8"/>
        <rFont val="Calibri"/>
        <family val="2"/>
      </rPr>
      <t>H</t>
    </r>
    <r>
      <rPr>
        <sz val="11"/>
        <color theme="1"/>
        <rFont val="Calibri"/>
        <family val="2"/>
        <scheme val="minor"/>
      </rPr>
      <t>)], where cell C13 contains the population incidence protection goal.</t>
    </r>
  </si>
  <si>
    <r>
      <t>h - For user defined value, specify LCL and UCL on Log(GSD</t>
    </r>
    <r>
      <rPr>
        <vertAlign val="subscript"/>
        <sz val="11"/>
        <color indexed="8"/>
        <rFont val="Calibri"/>
        <family val="2"/>
      </rPr>
      <t>H</t>
    </r>
    <r>
      <rPr>
        <sz val="11"/>
        <color theme="1"/>
        <rFont val="Calibri"/>
        <family val="2"/>
        <scheme val="minor"/>
      </rPr>
      <t>), then calculate the Intraspecies LCL and UCL</t>
    </r>
  </si>
  <si>
    <t>Exposure estimate (optional)</t>
  </si>
  <si>
    <t>Quantal-deterministic</t>
  </si>
  <si>
    <t>Quantal-stochastic</t>
  </si>
  <si>
    <t xml:space="preserve">     (Modelled BMD uncertainty)</t>
  </si>
  <si>
    <t xml:space="preserve">     (Remaining TK &amp; TD)</t>
  </si>
  <si>
    <r>
      <t>BMDU</t>
    </r>
    <r>
      <rPr>
        <sz val="11"/>
        <color indexed="8"/>
        <rFont val="Calibri"/>
        <family val="2"/>
      </rPr>
      <t xml:space="preserve"> (User input for BMDL PoDs)</t>
    </r>
  </si>
  <si>
    <r>
      <t xml:space="preserve">Target BMR </t>
    </r>
    <r>
      <rPr>
        <sz val="11"/>
        <color indexed="8"/>
        <rFont val="Calibri"/>
        <family val="2"/>
      </rPr>
      <t xml:space="preserve">
(= </t>
    </r>
    <r>
      <rPr>
        <i/>
        <sz val="11"/>
        <color indexed="8"/>
        <rFont val="Calibri"/>
        <family val="2"/>
      </rPr>
      <t>M</t>
    </r>
    <r>
      <rPr>
        <sz val="11"/>
        <color indexed="8"/>
        <rFont val="Calibri"/>
        <family val="2"/>
      </rPr>
      <t>, user input for BMDLs only)</t>
    </r>
  </si>
  <si>
    <r>
      <t>Body weight test species</t>
    </r>
    <r>
      <rPr>
        <sz val="11"/>
        <color indexed="8"/>
        <rFont val="Calibri"/>
        <family val="2"/>
      </rPr>
      <t xml:space="preserve"> (kg)</t>
    </r>
  </si>
  <si>
    <r>
      <t>Human median body weight</t>
    </r>
    <r>
      <rPr>
        <sz val="11"/>
        <color indexed="8"/>
        <rFont val="Calibri"/>
        <family val="2"/>
      </rPr>
      <t xml:space="preserve"> (kg)</t>
    </r>
  </si>
  <si>
    <r>
      <t>Population incidence goal</t>
    </r>
    <r>
      <rPr>
        <sz val="11"/>
        <color indexed="8"/>
        <rFont val="Calibri"/>
        <family val="2"/>
      </rPr>
      <t xml:space="preserve"> (= </t>
    </r>
    <r>
      <rPr>
        <i/>
        <sz val="11"/>
        <color indexed="8"/>
        <rFont val="Calibri"/>
        <family val="2"/>
      </rPr>
      <t>I</t>
    </r>
    <r>
      <rPr>
        <sz val="11"/>
        <color indexed="8"/>
        <rFont val="Calibri"/>
        <family val="2"/>
      </rPr>
      <t>)</t>
    </r>
  </si>
  <si>
    <r>
      <t>Minimum incidence (</t>
    </r>
    <r>
      <rPr>
        <b/>
        <i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>) shown</t>
    </r>
  </si>
  <si>
    <r>
      <t>Incidence (</t>
    </r>
    <r>
      <rPr>
        <b/>
        <i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>)</t>
    </r>
  </si>
  <si>
    <t>Default benchmark response level for continuous end-points.</t>
  </si>
  <si>
    <t>Default benchmark response level for deterministic quantal end-points.</t>
  </si>
  <si>
    <t>Default benchmark response level for stochastic quantal end-points.</t>
  </si>
  <si>
    <r>
      <t>Uncertainty (median estimate) in using NOAEL as a surrogate for the ED</t>
    </r>
    <r>
      <rPr>
        <vertAlign val="subscript"/>
        <sz val="11"/>
        <color indexed="8"/>
        <rFont val="Calibri"/>
        <family val="2"/>
      </rPr>
      <t>50</t>
    </r>
    <r>
      <rPr>
        <sz val="11"/>
        <color theme="1"/>
        <rFont val="Calibri"/>
        <family val="2"/>
        <scheme val="minor"/>
      </rPr>
      <t xml:space="preserve"> for "deterministic" quantal end-points.</t>
    </r>
  </si>
  <si>
    <r>
      <t>Uncertainty (GSD) in using NOAEL as a surrogate for the ED</t>
    </r>
    <r>
      <rPr>
        <vertAlign val="subscript"/>
        <sz val="11"/>
        <color indexed="8"/>
        <rFont val="Calibri"/>
        <family val="2"/>
      </rPr>
      <t>50</t>
    </r>
    <r>
      <rPr>
        <sz val="11"/>
        <color theme="1"/>
        <rFont val="Calibri"/>
        <family val="2"/>
        <scheme val="minor"/>
      </rPr>
      <t xml:space="preserve"> for "deterministic" quantal end-points.</t>
    </r>
  </si>
  <si>
    <r>
      <t>Uncertainty (median estimate) in using NOAEL as a surrogate for the BMD</t>
    </r>
    <r>
      <rPr>
        <vertAlign val="subscript"/>
        <sz val="11"/>
        <color indexed="8"/>
        <rFont val="Calibri"/>
        <family val="2"/>
      </rPr>
      <t>10</t>
    </r>
    <r>
      <rPr>
        <sz val="11"/>
        <color theme="1"/>
        <rFont val="Calibri"/>
        <family val="2"/>
        <scheme val="minor"/>
      </rPr>
      <t xml:space="preserve"> for "stochastic" quantal end-points.</t>
    </r>
  </si>
  <si>
    <r>
      <t>Uncertainty (GSD) in using NOAEL as a surrogate for the BMD</t>
    </r>
    <r>
      <rPr>
        <vertAlign val="subscript"/>
        <sz val="11"/>
        <color indexed="8"/>
        <rFont val="Calibri"/>
        <family val="2"/>
      </rPr>
      <t>10</t>
    </r>
    <r>
      <rPr>
        <sz val="11"/>
        <color theme="1"/>
        <rFont val="Calibri"/>
        <family val="2"/>
        <scheme val="minor"/>
      </rPr>
      <t xml:space="preserve"> for "stochastic" quantal end-points.</t>
    </r>
  </si>
  <si>
    <t>Uncertainty (median estimate) in using NOAEL as a surrogate for the BMD for continuous chronic or subchronic end-points.</t>
  </si>
  <si>
    <t>Uncertainty (GSD) in using NOAEL as a surrogate for the BMD for continuous chronic or subchronic end-points.</t>
  </si>
  <si>
    <t>Uncertainty (median estimate) in using NOAEL as a surrogate for the BMD for continuous repro/developmental end-points.</t>
  </si>
  <si>
    <t>Uncertainty (GSD) in using NOAEL as a surrogate for the BMD for continuous repro/developmental end-points.</t>
  </si>
  <si>
    <t>[e.g. Decreased fetal bw]</t>
  </si>
  <si>
    <r>
      <t>Maximum incidence (</t>
    </r>
    <r>
      <rPr>
        <b/>
        <i/>
        <sz val="11"/>
        <color indexed="8"/>
        <rFont val="Calibri"/>
        <family val="2"/>
      </rPr>
      <t>I</t>
    </r>
    <r>
      <rPr>
        <b/>
        <sz val="11"/>
        <color indexed="8"/>
        <rFont val="Calibri"/>
        <family val="2"/>
      </rPr>
      <t>) shown</t>
    </r>
  </si>
  <si>
    <t>LOAEL</t>
  </si>
  <si>
    <t>Dog</t>
  </si>
  <si>
    <t>Rabbit</t>
  </si>
  <si>
    <t>DogBWDefault</t>
  </si>
  <si>
    <t>RabbitBWDefault</t>
  </si>
  <si>
    <t>Default body weight for dogs, used in allometric scaling of oral doses.</t>
  </si>
  <si>
    <t>Default body weight for rabbits, used in allometric scaling of oral doses.</t>
  </si>
  <si>
    <t>a - Automatically adjusts for mice, rats, dogs, and rabbits.</t>
  </si>
  <si>
    <t>c - For NOAEL/LOAEL, PoD is fixed.</t>
  </si>
  <si>
    <t>i - Can add other extrapolation aspects (e.g., LOAEL-to-NOAEL), as long as P05 and P95 are specified.</t>
  </si>
  <si>
    <t>b - For NOAEL/LOAEL, is 5% if continuous and 10% if quantal-stochastic and 50% if quantal-deterministic</t>
  </si>
  <si>
    <t xml:space="preserve">      User input is ignored if NOAEL/LOAEL or quantal-deterministic. Otherwise user inputs BMR used for BMDL.</t>
  </si>
  <si>
    <t xml:space="preserve">     (NOAEL or LOAEL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</si>
</sst>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00"/>
    <numFmt numFmtId="166" formatCode="0.0%"/>
    <numFmt numFmtId="167" formatCode="0.0"/>
    <numFmt numFmtId="168" formatCode="#,##0.0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8"/>
      <name val="Calibri"/>
      <family val="2"/>
    </font>
    <font>
      <vertAlign val="sub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/>
    <xf numFmtId="0" fontId="0" fillId="0" borderId="0" xfId="0" applyFont="1"/>
    <xf numFmtId="2" fontId="0" fillId="0" borderId="0" xfId="0" applyNumberFormat="1"/>
    <xf numFmtId="2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9" fontId="3" fillId="2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right" wrapText="1"/>
    </xf>
    <xf numFmtId="0" fontId="3" fillId="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1" applyNumberFormat="1" applyFont="1" applyBorder="1" applyAlignment="1">
      <alignment horizontal="center" wrapText="1"/>
    </xf>
    <xf numFmtId="9" fontId="0" fillId="0" borderId="10" xfId="1" applyFont="1" applyBorder="1" applyAlignment="1">
      <alignment horizontal="center" wrapText="1"/>
    </xf>
    <xf numFmtId="9" fontId="0" fillId="0" borderId="0" xfId="1" applyFont="1" applyAlignment="1">
      <alignment horizontal="left" wrapText="1"/>
    </xf>
    <xf numFmtId="9" fontId="0" fillId="3" borderId="0" xfId="1" applyFont="1" applyFill="1" applyBorder="1" applyAlignment="1" applyProtection="1">
      <alignment horizontal="center" wrapText="1"/>
      <protection locked="0"/>
    </xf>
    <xf numFmtId="9" fontId="0" fillId="0" borderId="0" xfId="1" applyFont="1" applyBorder="1" applyAlignment="1">
      <alignment horizontal="center" wrapText="1"/>
    </xf>
    <xf numFmtId="9" fontId="0" fillId="0" borderId="0" xfId="0" applyNumberFormat="1" applyBorder="1" applyAlignment="1">
      <alignment horizontal="center" wrapText="1"/>
    </xf>
    <xf numFmtId="9" fontId="0" fillId="0" borderId="10" xfId="0" applyNumberFormat="1" applyBorder="1" applyAlignment="1">
      <alignment horizontal="center" wrapText="1"/>
    </xf>
    <xf numFmtId="0" fontId="3" fillId="0" borderId="11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5" fillId="0" borderId="0" xfId="0" applyFont="1" applyFill="1" applyAlignment="1">
      <alignment horizontal="left" wrapText="1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0" fillId="2" borderId="5" xfId="0" applyFill="1" applyBorder="1" applyAlignment="1">
      <alignment horizontal="center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9" fontId="4" fillId="2" borderId="15" xfId="1" applyFont="1" applyFill="1" applyBorder="1" applyAlignment="1">
      <alignment horizontal="left" wrapText="1"/>
    </xf>
    <xf numFmtId="2" fontId="5" fillId="2" borderId="15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wrapText="1"/>
    </xf>
    <xf numFmtId="0" fontId="0" fillId="2" borderId="17" xfId="0" applyFill="1" applyBorder="1" applyAlignment="1">
      <alignment horizontal="left" wrapText="1"/>
    </xf>
    <xf numFmtId="0" fontId="4" fillId="2" borderId="18" xfId="0" applyFont="1" applyFill="1" applyBorder="1" applyAlignment="1">
      <alignment horizontal="left" wrapText="1"/>
    </xf>
    <xf numFmtId="2" fontId="5" fillId="2" borderId="18" xfId="0" applyNumberFormat="1" applyFont="1" applyFill="1" applyBorder="1" applyAlignment="1">
      <alignment horizontal="center" wrapText="1"/>
    </xf>
    <xf numFmtId="165" fontId="5" fillId="2" borderId="1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left" wrapText="1"/>
    </xf>
    <xf numFmtId="0" fontId="5" fillId="2" borderId="21" xfId="0" applyFont="1" applyFill="1" applyBorder="1" applyAlignment="1">
      <alignment horizontal="center" wrapText="1"/>
    </xf>
    <xf numFmtId="2" fontId="0" fillId="3" borderId="0" xfId="0" applyNumberFormat="1" applyFill="1" applyBorder="1" applyAlignment="1" applyProtection="1">
      <alignment horizontal="center" wrapText="1"/>
      <protection locked="0"/>
    </xf>
    <xf numFmtId="2" fontId="0" fillId="0" borderId="0" xfId="0" applyNumberFormat="1" applyBorder="1" applyAlignment="1">
      <alignment horizontal="center" wrapText="1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2" fontId="5" fillId="2" borderId="0" xfId="0" applyNumberFormat="1" applyFont="1" applyFill="1" applyBorder="1" applyAlignment="1">
      <alignment horizontal="center" wrapText="1"/>
    </xf>
    <xf numFmtId="165" fontId="5" fillId="2" borderId="16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wrapText="1"/>
    </xf>
    <xf numFmtId="0" fontId="0" fillId="2" borderId="22" xfId="0" applyFill="1" applyBorder="1" applyAlignment="1">
      <alignment horizontal="left" wrapText="1"/>
    </xf>
    <xf numFmtId="9" fontId="4" fillId="2" borderId="23" xfId="1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wrapText="1"/>
    </xf>
    <xf numFmtId="0" fontId="3" fillId="4" borderId="22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wrapText="1"/>
    </xf>
    <xf numFmtId="9" fontId="4" fillId="2" borderId="0" xfId="1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wrapText="1"/>
    </xf>
    <xf numFmtId="0" fontId="0" fillId="2" borderId="3" xfId="0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wrapText="1"/>
    </xf>
    <xf numFmtId="0" fontId="3" fillId="4" borderId="17" xfId="0" applyFont="1" applyFill="1" applyBorder="1" applyAlignment="1">
      <alignment horizontal="left" wrapText="1"/>
    </xf>
    <xf numFmtId="0" fontId="3" fillId="4" borderId="18" xfId="0" applyFont="1" applyFill="1" applyBorder="1" applyAlignment="1">
      <alignment horizontal="right" wrapText="1"/>
    </xf>
    <xf numFmtId="0" fontId="3" fillId="4" borderId="20" xfId="0" applyFont="1" applyFill="1" applyBorder="1" applyAlignment="1">
      <alignment horizontal="left" wrapText="1"/>
    </xf>
    <xf numFmtId="0" fontId="0" fillId="4" borderId="10" xfId="0" applyFill="1" applyBorder="1" applyAlignment="1">
      <alignment horizontal="center" wrapText="1"/>
    </xf>
    <xf numFmtId="166" fontId="3" fillId="4" borderId="12" xfId="1" applyNumberFormat="1" applyFont="1" applyFill="1" applyBorder="1" applyAlignment="1">
      <alignment wrapText="1"/>
    </xf>
    <xf numFmtId="0" fontId="3" fillId="5" borderId="22" xfId="0" applyFont="1" applyFill="1" applyBorder="1" applyAlignment="1">
      <alignment horizontal="left" wrapText="1"/>
    </xf>
    <xf numFmtId="0" fontId="0" fillId="5" borderId="23" xfId="0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right" wrapText="1"/>
    </xf>
    <xf numFmtId="0" fontId="3" fillId="5" borderId="10" xfId="0" quotePrefix="1" applyFont="1" applyFill="1" applyBorder="1" applyAlignment="1">
      <alignment wrapText="1"/>
    </xf>
    <xf numFmtId="0" fontId="3" fillId="5" borderId="17" xfId="0" applyFont="1" applyFill="1" applyBorder="1" applyAlignment="1">
      <alignment horizontal="left" wrapText="1"/>
    </xf>
    <xf numFmtId="0" fontId="3" fillId="5" borderId="18" xfId="0" applyFont="1" applyFill="1" applyBorder="1" applyAlignment="1">
      <alignment horizontal="right" wrapText="1"/>
    </xf>
    <xf numFmtId="0" fontId="3" fillId="5" borderId="20" xfId="0" applyFont="1" applyFill="1" applyBorder="1" applyAlignment="1">
      <alignment horizontal="left" wrapText="1"/>
    </xf>
    <xf numFmtId="0" fontId="3" fillId="6" borderId="4" xfId="0" applyFont="1" applyFill="1" applyBorder="1" applyAlignment="1">
      <alignment horizontal="center" wrapText="1"/>
    </xf>
    <xf numFmtId="166" fontId="3" fillId="6" borderId="12" xfId="1" applyNumberFormat="1" applyFont="1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2" xfId="0" applyFill="1" applyBorder="1" applyAlignment="1">
      <alignment horizontal="left" wrapText="1"/>
    </xf>
    <xf numFmtId="0" fontId="0" fillId="5" borderId="0" xfId="0" applyFill="1" applyBorder="1" applyAlignment="1">
      <alignment horizontal="left" wrapText="1"/>
    </xf>
    <xf numFmtId="0" fontId="3" fillId="5" borderId="2" xfId="0" applyFont="1" applyFill="1" applyBorder="1" applyAlignment="1">
      <alignment horizontal="right" wrapText="1"/>
    </xf>
    <xf numFmtId="0" fontId="7" fillId="0" borderId="0" xfId="0" applyFont="1" applyAlignment="1">
      <alignment horizontal="left" wrapText="1"/>
    </xf>
    <xf numFmtId="10" fontId="0" fillId="3" borderId="0" xfId="1" applyNumberFormat="1" applyFont="1" applyFill="1" applyBorder="1" applyAlignment="1" applyProtection="1">
      <alignment horizontal="center" wrapText="1"/>
      <protection locked="0"/>
    </xf>
    <xf numFmtId="10" fontId="0" fillId="0" borderId="10" xfId="0" applyNumberFormat="1" applyBorder="1" applyAlignment="1">
      <alignment horizontal="center" wrapText="1"/>
    </xf>
    <xf numFmtId="9" fontId="0" fillId="3" borderId="4" xfId="1" applyFont="1" applyFill="1" applyBorder="1" applyAlignment="1" applyProtection="1">
      <alignment horizontal="center" wrapText="1"/>
      <protection locked="0"/>
    </xf>
    <xf numFmtId="9" fontId="0" fillId="0" borderId="12" xfId="0" applyNumberFormat="1" applyBorder="1" applyAlignment="1">
      <alignment horizontal="center" wrapText="1"/>
    </xf>
    <xf numFmtId="9" fontId="3" fillId="3" borderId="3" xfId="1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>
      <alignment horizontal="center" wrapText="1"/>
    </xf>
    <xf numFmtId="0" fontId="3" fillId="2" borderId="8" xfId="0" applyFont="1" applyFill="1" applyBorder="1" applyAlignment="1">
      <alignment horizontal="right" wrapText="1"/>
    </xf>
    <xf numFmtId="9" fontId="3" fillId="2" borderId="8" xfId="0" applyNumberFormat="1" applyFont="1" applyFill="1" applyBorder="1" applyAlignment="1">
      <alignment horizontal="center" wrapText="1"/>
    </xf>
    <xf numFmtId="9" fontId="0" fillId="2" borderId="8" xfId="0" applyNumberForma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10" fontId="0" fillId="2" borderId="2" xfId="1" applyNumberFormat="1" applyFont="1" applyFill="1" applyBorder="1" applyAlignment="1">
      <alignment horizontal="left" wrapText="1"/>
    </xf>
    <xf numFmtId="0" fontId="0" fillId="2" borderId="0" xfId="0" applyFill="1" applyBorder="1" applyAlignment="1">
      <alignment horizontal="right" wrapText="1"/>
    </xf>
    <xf numFmtId="0" fontId="0" fillId="2" borderId="0" xfId="0" applyFill="1" applyBorder="1" applyAlignment="1">
      <alignment horizontal="center" wrapText="1"/>
    </xf>
    <xf numFmtId="165" fontId="0" fillId="2" borderId="0" xfId="0" applyNumberFormat="1" applyFill="1" applyBorder="1" applyAlignment="1">
      <alignment horizontal="center" wrapText="1"/>
    </xf>
    <xf numFmtId="0" fontId="0" fillId="2" borderId="0" xfId="0" applyFill="1" applyBorder="1" applyAlignment="1">
      <alignment horizontal="left" wrapText="1"/>
    </xf>
    <xf numFmtId="0" fontId="0" fillId="2" borderId="10" xfId="0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3" fillId="2" borderId="17" xfId="0" applyFont="1" applyFill="1" applyBorder="1" applyAlignment="1">
      <alignment horizontal="left" wrapText="1"/>
    </xf>
    <xf numFmtId="9" fontId="3" fillId="2" borderId="18" xfId="0" applyNumberFormat="1" applyFont="1" applyFill="1" applyBorder="1" applyAlignment="1">
      <alignment horizontal="right" wrapText="1"/>
    </xf>
    <xf numFmtId="9" fontId="3" fillId="2" borderId="18" xfId="0" applyNumberFormat="1" applyFont="1" applyFill="1" applyBorder="1" applyAlignment="1">
      <alignment horizontal="center" wrapText="1"/>
    </xf>
    <xf numFmtId="9" fontId="3" fillId="2" borderId="18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2" borderId="10" xfId="0" applyNumberFormat="1" applyFill="1" applyBorder="1" applyAlignment="1">
      <alignment horizontal="center" wrapText="1"/>
    </xf>
    <xf numFmtId="10" fontId="0" fillId="2" borderId="3" xfId="1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right" wrapText="1"/>
    </xf>
    <xf numFmtId="0" fontId="0" fillId="2" borderId="12" xfId="0" applyFill="1" applyBorder="1" applyAlignment="1">
      <alignment horizontal="center" wrapText="1"/>
    </xf>
    <xf numFmtId="0" fontId="0" fillId="2" borderId="25" xfId="0" applyNumberFormat="1" applyFill="1" applyBorder="1" applyAlignment="1">
      <alignment horizontal="center" wrapText="1"/>
    </xf>
    <xf numFmtId="167" fontId="3" fillId="6" borderId="0" xfId="0" applyNumberFormat="1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wrapText="1"/>
    </xf>
    <xf numFmtId="9" fontId="3" fillId="5" borderId="0" xfId="0" applyNumberFormat="1" applyFont="1" applyFill="1" applyBorder="1" applyAlignment="1">
      <alignment horizontal="left" wrapText="1"/>
    </xf>
    <xf numFmtId="0" fontId="3" fillId="4" borderId="4" xfId="0" applyFont="1" applyFill="1" applyBorder="1" applyAlignment="1">
      <alignment wrapText="1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wrapText="1"/>
    </xf>
    <xf numFmtId="0" fontId="0" fillId="4" borderId="0" xfId="0" applyFill="1" applyBorder="1" applyAlignment="1">
      <alignment horizontal="right" wrapText="1"/>
    </xf>
    <xf numFmtId="0" fontId="3" fillId="5" borderId="3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168" fontId="3" fillId="5" borderId="4" xfId="0" applyNumberFormat="1" applyFont="1" applyFill="1" applyBorder="1" applyAlignment="1">
      <alignment horizontal="center" wrapText="1"/>
    </xf>
    <xf numFmtId="9" fontId="3" fillId="5" borderId="12" xfId="1" applyFont="1" applyFill="1" applyBorder="1" applyAlignment="1">
      <alignment horizontal="left" wrapText="1"/>
    </xf>
    <xf numFmtId="165" fontId="3" fillId="2" borderId="0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5" fontId="3" fillId="5" borderId="0" xfId="0" applyNumberFormat="1" applyFont="1" applyFill="1" applyBorder="1" applyAlignment="1">
      <alignment horizontal="center" wrapText="1"/>
    </xf>
    <xf numFmtId="165" fontId="3" fillId="5" borderId="18" xfId="0" applyNumberFormat="1" applyFont="1" applyFill="1" applyBorder="1" applyAlignment="1">
      <alignment horizontal="center" wrapText="1"/>
    </xf>
    <xf numFmtId="165" fontId="3" fillId="6" borderId="2" xfId="0" applyNumberFormat="1" applyFont="1" applyFill="1" applyBorder="1" applyAlignment="1">
      <alignment horizontal="left" wrapText="1"/>
    </xf>
    <xf numFmtId="9" fontId="0" fillId="2" borderId="10" xfId="1" applyNumberFormat="1" applyFont="1" applyFill="1" applyBorder="1" applyAlignment="1">
      <alignment horizontal="left" wrapText="1"/>
    </xf>
    <xf numFmtId="2" fontId="0" fillId="0" borderId="0" xfId="0" applyNumberFormat="1" applyFill="1" applyBorder="1" applyAlignment="1">
      <alignment horizontal="center" wrapText="1"/>
    </xf>
    <xf numFmtId="2" fontId="0" fillId="0" borderId="0" xfId="0" applyNumberFormat="1" applyFill="1" applyBorder="1" applyAlignment="1" applyProtection="1">
      <alignment horizontal="center" wrapText="1"/>
    </xf>
    <xf numFmtId="2" fontId="0" fillId="3" borderId="4" xfId="0" applyNumberFormat="1" applyFill="1" applyBorder="1" applyAlignment="1" applyProtection="1">
      <alignment horizontal="center" wrapText="1"/>
      <protection locked="0"/>
    </xf>
    <xf numFmtId="2" fontId="0" fillId="0" borderId="4" xfId="0" applyNumberFormat="1" applyBorder="1" applyAlignment="1">
      <alignment horizontal="center" wrapText="1"/>
    </xf>
    <xf numFmtId="2" fontId="0" fillId="3" borderId="0" xfId="0" applyNumberFormat="1" applyFill="1" applyBorder="1" applyAlignment="1" applyProtection="1">
      <alignment horizontal="center" wrapText="1"/>
      <protection locked="0"/>
    </xf>
    <xf numFmtId="2" fontId="0" fillId="0" borderId="0" xfId="0" applyNumberFormat="1" applyBorder="1" applyAlignment="1">
      <alignment horizontal="center" wrapText="1"/>
    </xf>
    <xf numFmtId="0" fontId="15" fillId="0" borderId="0" xfId="0" applyFont="1"/>
    <xf numFmtId="165" fontId="3" fillId="4" borderId="23" xfId="0" applyNumberFormat="1" applyFont="1" applyFill="1" applyBorder="1" applyAlignment="1">
      <alignment horizontal="center" wrapText="1"/>
    </xf>
    <xf numFmtId="165" fontId="3" fillId="4" borderId="18" xfId="0" applyNumberFormat="1" applyFont="1" applyFill="1" applyBorder="1" applyAlignment="1">
      <alignment horizontal="center" wrapText="1"/>
    </xf>
    <xf numFmtId="1" fontId="3" fillId="4" borderId="0" xfId="0" applyNumberFormat="1" applyFont="1" applyFill="1" applyBorder="1" applyAlignment="1">
      <alignment horizontal="center" wrapText="1"/>
    </xf>
    <xf numFmtId="1" fontId="3" fillId="6" borderId="10" xfId="0" applyNumberFormat="1" applyFont="1" applyFill="1" applyBorder="1" applyAlignment="1">
      <alignment horizontal="right" vertical="top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2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3" fillId="5" borderId="11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9" fontId="4" fillId="2" borderId="11" xfId="0" applyNumberFormat="1" applyFont="1" applyFill="1" applyBorder="1" applyAlignment="1">
      <alignment horizontal="left" wrapText="1"/>
    </xf>
    <xf numFmtId="9" fontId="4" fillId="2" borderId="5" xfId="0" applyNumberFormat="1" applyFont="1" applyFill="1" applyBorder="1" applyAlignment="1">
      <alignment horizontal="left" wrapText="1"/>
    </xf>
    <xf numFmtId="9" fontId="4" fillId="2" borderId="6" xfId="0" applyNumberFormat="1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0" fillId="0" borderId="2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22" xfId="0" applyFill="1" applyBorder="1" applyAlignment="1" applyProtection="1">
      <alignment horizontal="left" vertical="top" wrapText="1"/>
      <protection locked="0"/>
    </xf>
    <xf numFmtId="0" fontId="0" fillId="3" borderId="23" xfId="0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5" borderId="23" xfId="0" quotePrefix="1" applyFill="1" applyBorder="1" applyAlignment="1">
      <alignment horizontal="left" vertical="top" wrapText="1"/>
    </xf>
    <xf numFmtId="0" fontId="0" fillId="5" borderId="23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wrapText="1"/>
    </xf>
    <xf numFmtId="0" fontId="3" fillId="6" borderId="4" xfId="0" applyFont="1" applyFill="1" applyBorder="1" applyAlignment="1">
      <alignment horizontal="left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5" borderId="0" xfId="0" quotePrefix="1" applyFill="1" applyBorder="1" applyAlignment="1">
      <alignment horizontal="left" wrapText="1"/>
    </xf>
    <xf numFmtId="0" fontId="0" fillId="5" borderId="10" xfId="0" quotePrefix="1" applyFill="1" applyBorder="1" applyAlignment="1">
      <alignment horizontal="left" wrapText="1"/>
    </xf>
    <xf numFmtId="0" fontId="6" fillId="3" borderId="11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1" fontId="0" fillId="3" borderId="0" xfId="0" applyNumberFormat="1" applyFill="1" applyBorder="1" applyAlignment="1" applyProtection="1">
      <alignment horizontal="center" wrapText="1"/>
      <protection locked="0"/>
    </xf>
    <xf numFmtId="165" fontId="0" fillId="0" borderId="0" xfId="0" applyNumberFormat="1" applyBorder="1" applyAlignment="1">
      <alignment horizontal="center" wrapText="1"/>
    </xf>
    <xf numFmtId="165" fontId="0" fillId="3" borderId="4" xfId="1" applyNumberFormat="1" applyFont="1" applyFill="1" applyBorder="1" applyAlignment="1" applyProtection="1">
      <alignment horizontal="center" wrapText="1"/>
      <protection locked="0"/>
    </xf>
    <xf numFmtId="0" fontId="3" fillId="0" borderId="8" xfId="0" applyFont="1" applyFill="1" applyBorder="1" applyAlignment="1">
      <alignment horizontal="center" wrapText="1"/>
    </xf>
    <xf numFmtId="2" fontId="0" fillId="3" borderId="0" xfId="0" applyNumberFormat="1" applyFill="1" applyBorder="1" applyAlignment="1" applyProtection="1">
      <alignment horizontal="center" wrapText="1"/>
      <protection locked="0"/>
    </xf>
    <xf numFmtId="0" fontId="0" fillId="3" borderId="0" xfId="0" applyNumberFormat="1" applyFill="1" applyBorder="1" applyAlignment="1" applyProtection="1">
      <alignment horizontal="center" wrapText="1"/>
      <protection locked="0"/>
    </xf>
    <xf numFmtId="9" fontId="0" fillId="3" borderId="0" xfId="1" applyFont="1" applyFill="1" applyBorder="1" applyAlignment="1" applyProtection="1">
      <alignment horizontal="center" wrapText="1"/>
      <protection locked="0"/>
    </xf>
    <xf numFmtId="9" fontId="0" fillId="3" borderId="0" xfId="0" applyNumberFormat="1" applyFill="1" applyBorder="1" applyAlignment="1" applyProtection="1">
      <alignment horizontal="center" wrapText="1"/>
      <protection locked="0"/>
    </xf>
    <xf numFmtId="165" fontId="0" fillId="3" borderId="0" xfId="0" applyNumberForma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767537826685024E-2"/>
          <c:y val="0.1619870410367171"/>
          <c:w val="0.81568088033012387"/>
          <c:h val="0.680345572354211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'Wksht.LCL,UCL'!$B$111</c:f>
              <c:strCache>
                <c:ptCount val="1"/>
                <c:pt idx="0">
                  <c:v>99%</c:v>
                </c:pt>
              </c:strCache>
            </c:strRef>
          </c:tx>
          <c:marker>
            <c:symbol val="none"/>
          </c:marker>
          <c:xVal>
            <c:numRef>
              <c:f>'Wksht.LCL,UCL'!$B$112:$B$131</c:f>
              <c:numCache>
                <c:formatCode>General</c:formatCode>
                <c:ptCount val="20"/>
                <c:pt idx="0">
                  <c:v>2.4702164941151284E-2</c:v>
                </c:pt>
                <c:pt idx="1">
                  <c:v>2.9894821190446421E-2</c:v>
                </c:pt>
                <c:pt idx="2">
                  <c:v>3.6340720368338617E-2</c:v>
                </c:pt>
                <c:pt idx="3">
                  <c:v>4.4388397488085596E-2</c:v>
                </c:pt>
                <c:pt idx="4">
                  <c:v>5.449842409189222E-2</c:v>
                </c:pt>
                <c:pt idx="5">
                  <c:v>6.7285150895231946E-2</c:v>
                </c:pt>
                <c:pt idx="6">
                  <c:v>8.3576527543825968E-2</c:v>
                </c:pt>
                <c:pt idx="7">
                  <c:v>0.10450112839851311</c:v>
                </c:pt>
                <c:pt idx="8">
                  <c:v>0.13161691124334984</c:v>
                </c:pt>
                <c:pt idx="9">
                  <c:v>0.16710539108467573</c:v>
                </c:pt>
                <c:pt idx="10">
                  <c:v>0.21407092339134093</c:v>
                </c:pt>
                <c:pt idx="11">
                  <c:v>0.27701381619974891</c:v>
                </c:pt>
                <c:pt idx="12">
                  <c:v>0.36260087987349904</c:v>
                </c:pt>
                <c:pt idx="13">
                  <c:v>0.48096625830287465</c:v>
                </c:pt>
                <c:pt idx="14">
                  <c:v>0.64800686277215402</c:v>
                </c:pt>
                <c:pt idx="15">
                  <c:v>0.88966773471611815</c:v>
                </c:pt>
                <c:pt idx="16">
                  <c:v>1.2505634808921491</c:v>
                </c:pt>
                <c:pt idx="17">
                  <c:v>1.8132370270545974</c:v>
                </c:pt>
                <c:pt idx="18">
                  <c:v>2.7485476536061211</c:v>
                </c:pt>
                <c:pt idx="19">
                  <c:v>4.4883101508740504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'Wksht.LCL,UCL'!$C$111</c:f>
              <c:strCache>
                <c:ptCount val="1"/>
                <c:pt idx="0">
                  <c:v>95%</c:v>
                </c:pt>
              </c:strCache>
            </c:strRef>
          </c:tx>
          <c:marker>
            <c:symbol val="none"/>
          </c:marker>
          <c:xVal>
            <c:numRef>
              <c:f>'Wksht.LCL,UCL'!$C$112:$C$131</c:f>
              <c:numCache>
                <c:formatCode>General</c:formatCode>
                <c:ptCount val="20"/>
                <c:pt idx="0">
                  <c:v>8.6330964549928502E-2</c:v>
                </c:pt>
                <c:pt idx="1">
                  <c:v>0.10209683948400694</c:v>
                </c:pt>
                <c:pt idx="2">
                  <c:v>0.12123867683708589</c:v>
                </c:pt>
                <c:pt idx="3">
                  <c:v>0.14460736006255295</c:v>
                </c:pt>
                <c:pt idx="4">
                  <c:v>0.17330689011248129</c:v>
                </c:pt>
                <c:pt idx="5">
                  <c:v>0.20878343043429623</c:v>
                </c:pt>
                <c:pt idx="6">
                  <c:v>0.25295145847057504</c:v>
                </c:pt>
                <c:pt idx="7">
                  <c:v>0.30837537315196201</c:v>
                </c:pt>
                <c:pt idx="8">
                  <c:v>0.37853570103625861</c:v>
                </c:pt>
                <c:pt idx="9">
                  <c:v>0.4682274124019844</c:v>
                </c:pt>
                <c:pt idx="10">
                  <c:v>0.58417017452409525</c:v>
                </c:pt>
                <c:pt idx="11">
                  <c:v>0.73596946224275639</c:v>
                </c:pt>
                <c:pt idx="12">
                  <c:v>0.93768054623728725</c:v>
                </c:pt>
                <c:pt idx="13">
                  <c:v>1.210456025228684</c:v>
                </c:pt>
                <c:pt idx="14">
                  <c:v>1.5872518185553377</c:v>
                </c:pt>
                <c:pt idx="15">
                  <c:v>2.1217284570064132</c:v>
                </c:pt>
                <c:pt idx="16">
                  <c:v>2.9065289033222488</c:v>
                </c:pt>
                <c:pt idx="17">
                  <c:v>4.1153458825833829</c:v>
                </c:pt>
                <c:pt idx="18">
                  <c:v>6.117719691732316</c:v>
                </c:pt>
                <c:pt idx="19">
                  <c:v>9.8964027128814767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'Wksht.LCL,UCL'!$D$111</c:f>
              <c:strCache>
                <c:ptCount val="1"/>
                <c:pt idx="0">
                  <c:v>90%</c:v>
                </c:pt>
              </c:strCache>
            </c:strRef>
          </c:tx>
          <c:marker>
            <c:symbol val="none"/>
          </c:marker>
          <c:xVal>
            <c:numRef>
              <c:f>'Wksht.LCL,UCL'!$D$112:$D$131</c:f>
              <c:numCache>
                <c:formatCode>General</c:formatCode>
                <c:ptCount val="20"/>
                <c:pt idx="0">
                  <c:v>0.16821625322275885</c:v>
                </c:pt>
                <c:pt idx="1">
                  <c:v>0.19650543844098492</c:v>
                </c:pt>
                <c:pt idx="2">
                  <c:v>0.23045311205280905</c:v>
                </c:pt>
                <c:pt idx="3">
                  <c:v>0.27141050200406641</c:v>
                </c:pt>
                <c:pt idx="4">
                  <c:v>0.32111486324590172</c:v>
                </c:pt>
                <c:pt idx="5">
                  <c:v>0.38182153608568897</c:v>
                </c:pt>
                <c:pt idx="6">
                  <c:v>0.45649011791283539</c:v>
                </c:pt>
                <c:pt idx="7">
                  <c:v>0.54905131534402118</c:v>
                </c:pt>
                <c:pt idx="8">
                  <c:v>0.66479668153897187</c:v>
                </c:pt>
                <c:pt idx="9">
                  <c:v>0.81096013266715039</c:v>
                </c:pt>
                <c:pt idx="10">
                  <c:v>0.99760727933874083</c:v>
                </c:pt>
                <c:pt idx="11">
                  <c:v>1.2390352673672349</c:v>
                </c:pt>
                <c:pt idx="12">
                  <c:v>1.5560527935789175</c:v>
                </c:pt>
                <c:pt idx="13">
                  <c:v>1.9798503080479244</c:v>
                </c:pt>
                <c:pt idx="14">
                  <c:v>2.5589134665506408</c:v>
                </c:pt>
                <c:pt idx="15">
                  <c:v>3.372200402219709</c:v>
                </c:pt>
                <c:pt idx="16">
                  <c:v>4.5564986234199898</c:v>
                </c:pt>
                <c:pt idx="17">
                  <c:v>6.3703443691271788</c:v>
                </c:pt>
                <c:pt idx="18">
                  <c:v>9.3720206429504938</c:v>
                </c:pt>
                <c:pt idx="19">
                  <c:v>15.084804874584828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'Wksht.LCL,UCL'!$E$111</c:f>
              <c:strCache>
                <c:ptCount val="1"/>
                <c:pt idx="0">
                  <c:v>10%</c:v>
                </c:pt>
              </c:strCache>
            </c:strRef>
          </c:tx>
          <c:marker>
            <c:symbol val="none"/>
          </c:marker>
          <c:xVal>
            <c:numRef>
              <c:f>'Wksht.LCL,UCL'!$E$112:$E$131</c:f>
              <c:numCache>
                <c:formatCode>General</c:formatCode>
                <c:ptCount val="20"/>
                <c:pt idx="0">
                  <c:v>18.608729299535817</c:v>
                </c:pt>
                <c:pt idx="1">
                  <c:v>19.932234124045902</c:v>
                </c:pt>
                <c:pt idx="2">
                  <c:v>21.405211365379127</c:v>
                </c:pt>
                <c:pt idx="3">
                  <c:v>23.052855638210762</c:v>
                </c:pt>
                <c:pt idx="4">
                  <c:v>24.906295515411124</c:v>
                </c:pt>
                <c:pt idx="5">
                  <c:v>27.004448794958098</c:v>
                </c:pt>
                <c:pt idx="6">
                  <c:v>29.396620852846372</c:v>
                </c:pt>
                <c:pt idx="7">
                  <c:v>32.146218385830736</c:v>
                </c:pt>
                <c:pt idx="8">
                  <c:v>35.336180575502929</c:v>
                </c:pt>
                <c:pt idx="9">
                  <c:v>39.077132332129175</c:v>
                </c:pt>
                <c:pt idx="10">
                  <c:v>43.519997722127819</c:v>
                </c:pt>
                <c:pt idx="11">
                  <c:v>48.876208702520685</c:v>
                </c:pt>
                <c:pt idx="12">
                  <c:v>55.451447695955224</c:v>
                </c:pt>
                <c:pt idx="13">
                  <c:v>63.704847536882234</c:v>
                </c:pt>
                <c:pt idx="14">
                  <c:v>74.359343856448859</c:v>
                </c:pt>
                <c:pt idx="15">
                  <c:v>88.623647505534834</c:v>
                </c:pt>
                <c:pt idx="16">
                  <c:v>108.68518452379998</c:v>
                </c:pt>
                <c:pt idx="17">
                  <c:v>138.96300555823302</c:v>
                </c:pt>
                <c:pt idx="18">
                  <c:v>189.99006380690389</c:v>
                </c:pt>
                <c:pt idx="19">
                  <c:v>295.15358128414198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'Wksht.LCL,UCL'!$F$111</c:f>
              <c:strCache>
                <c:ptCount val="1"/>
                <c:pt idx="0">
                  <c:v>5%</c:v>
                </c:pt>
              </c:strCache>
            </c:strRef>
          </c:tx>
          <c:marker>
            <c:symbol val="none"/>
          </c:marker>
          <c:xVal>
            <c:numRef>
              <c:f>'Wksht.LCL,UCL'!$F$112:$F$131</c:f>
              <c:numCache>
                <c:formatCode>General</c:formatCode>
                <c:ptCount val="20"/>
                <c:pt idx="0">
                  <c:v>36.259188534771077</c:v>
                </c:pt>
                <c:pt idx="1">
                  <c:v>38.363502978635864</c:v>
                </c:pt>
                <c:pt idx="2">
                  <c:v>40.687491005270147</c:v>
                </c:pt>
                <c:pt idx="3">
                  <c:v>43.267418191491515</c:v>
                </c:pt>
                <c:pt idx="4">
                  <c:v>46.148088360494363</c:v>
                </c:pt>
                <c:pt idx="5">
                  <c:v>49.3855288161053</c:v>
                </c:pt>
                <c:pt idx="6">
                  <c:v>53.050759226659281</c:v>
                </c:pt>
                <c:pt idx="7">
                  <c:v>57.23519134382687</c:v>
                </c:pt>
                <c:pt idx="8">
                  <c:v>62.058546976011939</c:v>
                </c:pt>
                <c:pt idx="9">
                  <c:v>67.680779853847397</c:v>
                </c:pt>
                <c:pt idx="10">
                  <c:v>74.320580573579818</c:v>
                </c:pt>
                <c:pt idx="11">
                  <c:v>82.285134675396847</c:v>
                </c:pt>
                <c:pt idx="12">
                  <c:v>92.020017309233239</c:v>
                </c:pt>
                <c:pt idx="13">
                  <c:v>104.19714503566067</c:v>
                </c:pt>
                <c:pt idx="14">
                  <c:v>119.87960834804554</c:v>
                </c:pt>
                <c:pt idx="15">
                  <c:v>140.85530067594286</c:v>
                </c:pt>
                <c:pt idx="16">
                  <c:v>170.38326820104464</c:v>
                </c:pt>
                <c:pt idx="17">
                  <c:v>215.10760583243481</c:v>
                </c:pt>
                <c:pt idx="18">
                  <c:v>291.05465593007392</c:v>
                </c:pt>
                <c:pt idx="19">
                  <c:v>449.89420003198717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'Wksht.LCL,UCL'!$G$111</c:f>
              <c:strCache>
                <c:ptCount val="1"/>
                <c:pt idx="0">
                  <c:v>1%</c:v>
                </c:pt>
              </c:strCache>
            </c:strRef>
          </c:tx>
          <c:marker>
            <c:symbol val="none"/>
          </c:marker>
          <c:xVal>
            <c:numRef>
              <c:f>'Wksht.LCL,UCL'!$G$112:$G$131</c:f>
              <c:numCache>
                <c:formatCode>General</c:formatCode>
                <c:ptCount val="20"/>
                <c:pt idx="0">
                  <c:v>126.72131076210829</c:v>
                </c:pt>
                <c:pt idx="1">
                  <c:v>131.01909460176677</c:v>
                </c:pt>
                <c:pt idx="2">
                  <c:v>135.74022538082377</c:v>
                </c:pt>
                <c:pt idx="3">
                  <c:v>140.95546303678691</c:v>
                </c:pt>
                <c:pt idx="4">
                  <c:v>146.75253113572316</c:v>
                </c:pt>
                <c:pt idx="5">
                  <c:v>153.24153966887957</c:v>
                </c:pt>
                <c:pt idx="6">
                  <c:v>160.56262821302241</c:v>
                </c:pt>
                <c:pt idx="7">
                  <c:v>168.89696559800643</c:v>
                </c:pt>
                <c:pt idx="8">
                  <c:v>178.48295756935389</c:v>
                </c:pt>
                <c:pt idx="9">
                  <c:v>189.64077828139784</c:v>
                </c:pt>
                <c:pt idx="10">
                  <c:v>202.81066590735452</c:v>
                </c:pt>
                <c:pt idx="11">
                  <c:v>218.61489491179893</c:v>
                </c:pt>
                <c:pt idx="12">
                  <c:v>237.96241235098165</c:v>
                </c:pt>
                <c:pt idx="13">
                  <c:v>262.23474067617042</c:v>
                </c:pt>
                <c:pt idx="14">
                  <c:v>293.63751726969093</c:v>
                </c:pt>
                <c:pt idx="15">
                  <c:v>335.91945408664702</c:v>
                </c:pt>
                <c:pt idx="16">
                  <c:v>396.00060391620468</c:v>
                </c:pt>
                <c:pt idx="17">
                  <c:v>488.21096567438644</c:v>
                </c:pt>
                <c:pt idx="18">
                  <c:v>647.8296993023323</c:v>
                </c:pt>
                <c:pt idx="19">
                  <c:v>991.98451801267549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6"/>
          <c:order val="6"/>
          <c:tx>
            <c:v>Probabilistic RfD</c:v>
          </c:tx>
          <c:spPr>
            <a:ln>
              <a:noFill/>
            </a:ln>
          </c:spPr>
          <c:marker>
            <c:symbol val="square"/>
            <c:size val="10"/>
          </c:marker>
          <c:xVal>
            <c:numRef>
              <c:f>'Wksht.LCL,UCL'!$A$58</c:f>
              <c:numCache>
                <c:formatCode>0.000</c:formatCode>
                <c:ptCount val="1"/>
                <c:pt idx="0">
                  <c:v>0.62157732456167225</c:v>
                </c:pt>
              </c:numCache>
            </c:numRef>
          </c:xVal>
          <c:yVal>
            <c:numRef>
              <c:f>'Wksht.LCL,UCL'!$B$60</c:f>
              <c:numCache>
                <c:formatCode>0%</c:formatCode>
                <c:ptCount val="1"/>
                <c:pt idx="0">
                  <c:v>0.01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'Wksht.LCL,UCL'!$I$111</c:f>
              <c:strCache>
                <c:ptCount val="1"/>
                <c:pt idx="0">
                  <c:v>Exposure estimate (optional)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'Wksht.LCL,UCL'!$I$112:$I$131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'Wksht.LCL,UCL'!$H$111</c:f>
              <c:strCache>
                <c:ptCount val="1"/>
                <c:pt idx="0">
                  <c:v>Deterministic RfD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'Wksht.LCL,UCL'!$H$112:$H$131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'Wksht.LCL,UCL'!$A$112:$A$131</c:f>
              <c:numCache>
                <c:formatCode>0.00%</c:formatCode>
                <c:ptCount val="20"/>
                <c:pt idx="0">
                  <c:v>1E-4</c:v>
                </c:pt>
                <c:pt idx="1">
                  <c:v>1.5656065579430965E-4</c:v>
                </c:pt>
                <c:pt idx="2">
                  <c:v>2.45112389427443E-4</c:v>
                </c:pt>
                <c:pt idx="3">
                  <c:v>3.8374956432070688E-4</c:v>
                </c:pt>
                <c:pt idx="4">
                  <c:v>6.0080083450830477E-4</c:v>
                </c:pt>
                <c:pt idx="5">
                  <c:v>9.4061772652388699E-4</c:v>
                </c:pt>
                <c:pt idx="6">
                  <c:v>1.4726372811633235E-3</c:v>
                </c:pt>
                <c:pt idx="7">
                  <c:v>2.3055705848607907E-3</c:v>
                </c:pt>
                <c:pt idx="8">
                  <c:v>3.6096164274587541E-3</c:v>
                </c:pt>
                <c:pt idx="9">
                  <c:v>5.6512391504885571E-3</c:v>
                </c:pt>
                <c:pt idx="10">
                  <c:v>8.8476170745096592E-3</c:v>
                </c:pt>
                <c:pt idx="11">
                  <c:v>1.3851887314021637E-2</c:v>
                </c:pt>
                <c:pt idx="12">
                  <c:v>2.1686605618721058E-2</c:v>
                </c:pt>
                <c:pt idx="13">
                  <c:v>3.3952691976195291E-2</c:v>
                </c:pt>
                <c:pt idx="14">
                  <c:v>5.3156557217753302E-2</c:v>
                </c:pt>
                <c:pt idx="15">
                  <c:v>8.3222254577792004E-2</c:v>
                </c:pt>
                <c:pt idx="16">
                  <c:v>0.13029330753380103</c:v>
                </c:pt>
                <c:pt idx="17">
                  <c:v>0.20398805673101555</c:v>
                </c:pt>
                <c:pt idx="18">
                  <c:v>0.31936503936014637</c:v>
                </c:pt>
                <c:pt idx="19">
                  <c:v>0.50000000000000033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71307824"/>
        <c:axId val="-1771312176"/>
      </c:scatterChart>
      <c:valAx>
        <c:axId val="-1771307824"/>
        <c:scaling>
          <c:logBase val="10"/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DE" sz="1100" b="1" i="0" u="none" strike="noStrike" baseline="0">
                    <a:solidFill>
                      <a:srgbClr val="000000"/>
                    </a:solidFill>
                    <a:latin typeface="Calibri"/>
                  </a:rPr>
                  <a:t>Target Human Dose (HD</a:t>
                </a:r>
                <a:r>
                  <a:rPr lang="de-DE" sz="1100" b="1" i="0" u="none" strike="noStrike" baseline="-25000">
                    <a:solidFill>
                      <a:srgbClr val="000000"/>
                    </a:solidFill>
                    <a:latin typeface="Calibri"/>
                  </a:rPr>
                  <a:t>M</a:t>
                </a:r>
                <a:r>
                  <a:rPr lang="de-DE" sz="1100" b="1" i="0" u="none" strike="noStrike" baseline="30000">
                    <a:solidFill>
                      <a:srgbClr val="000000"/>
                    </a:solidFill>
                    <a:latin typeface="Calibri"/>
                  </a:rPr>
                  <a:t>I</a:t>
                </a:r>
                <a:r>
                  <a:rPr lang="de-DE" sz="1100" b="1" i="0" u="none" strike="noStrike" baseline="0">
                    <a:solidFill>
                      <a:srgbClr val="000000"/>
                    </a:solidFill>
                    <a:latin typeface="Calibri"/>
                  </a:rPr>
                  <a:t>) at different % coverage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771312176"/>
        <c:crosses val="max"/>
        <c:crossBetween val="midCat"/>
      </c:valAx>
      <c:valAx>
        <c:axId val="-1771312176"/>
        <c:scaling>
          <c:logBase val="10"/>
          <c:orientation val="minMax"/>
          <c:max val="1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DE" sz="1100" b="1" i="0" u="none" strike="noStrike" baseline="0">
                    <a:solidFill>
                      <a:srgbClr val="000000"/>
                    </a:solidFill>
                    <a:latin typeface="Calibri"/>
                  </a:rPr>
                  <a:t>Incidence </a:t>
                </a:r>
                <a:r>
                  <a:rPr lang="de-DE" sz="1100" b="1" i="1" u="none" strike="noStrike" baseline="0">
                    <a:solidFill>
                      <a:srgbClr val="000000"/>
                    </a:solidFill>
                    <a:latin typeface="Calibri"/>
                  </a:rPr>
                  <a:t>I</a:t>
                </a:r>
                <a:r>
                  <a:rPr lang="de-DE" sz="1100" b="1" i="0" u="none" strike="noStrike" baseline="0">
                    <a:solidFill>
                      <a:srgbClr val="000000"/>
                    </a:solidFill>
                    <a:latin typeface="Calibri"/>
                  </a:rPr>
                  <a:t> of magnitude ≥ </a:t>
                </a:r>
                <a:r>
                  <a:rPr lang="de-DE" sz="1100" b="1" i="1" u="none" strike="noStrike" baseline="0">
                    <a:solidFill>
                      <a:srgbClr val="000000"/>
                    </a:solidFill>
                    <a:latin typeface="Calibri"/>
                  </a:rPr>
                  <a:t>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out"/>
        <c:tickLblPos val="nextTo"/>
        <c:crossAx val="-1771307824"/>
        <c:crosses val="max"/>
        <c:crossBetween val="midCat"/>
      </c:valAx>
      <c:spPr>
        <a:ln w="158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4.2641019010742867E-2"/>
          <c:y val="0.84580686164005292"/>
          <c:w val="0.93397586800949695"/>
          <c:h val="0.131519565616951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63</xdr:row>
      <xdr:rowOff>28575</xdr:rowOff>
    </xdr:from>
    <xdr:to>
      <xdr:col>10</xdr:col>
      <xdr:colOff>0</xdr:colOff>
      <xdr:row>85</xdr:row>
      <xdr:rowOff>28575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abSelected="1" zoomScale="95" zoomScaleNormal="95" workbookViewId="0">
      <selection activeCell="A12" sqref="A12"/>
    </sheetView>
  </sheetViews>
  <sheetFormatPr defaultColWidth="9.140625" defaultRowHeight="15" x14ac:dyDescent="0.25"/>
  <cols>
    <col min="1" max="1" width="31.140625" style="12" customWidth="1"/>
    <col min="2" max="2" width="14.5703125" style="16" customWidth="1"/>
    <col min="3" max="3" width="25" style="15" customWidth="1"/>
    <col min="4" max="4" width="29.140625" style="15" customWidth="1"/>
    <col min="5" max="5" width="8.5703125" style="15" customWidth="1"/>
    <col min="6" max="6" width="23.7109375" style="12" customWidth="1"/>
    <col min="7" max="7" width="13.5703125" style="15" customWidth="1"/>
    <col min="8" max="8" width="18.7109375" style="15" customWidth="1"/>
    <col min="9" max="9" width="18.7109375" style="13" customWidth="1"/>
    <col min="10" max="10" width="20.7109375" style="13" customWidth="1"/>
    <col min="11" max="16384" width="9.140625" style="13"/>
  </cols>
  <sheetData>
    <row r="1" spans="1:10" ht="15.75" customHeight="1" thickBot="1" x14ac:dyDescent="0.3">
      <c r="A1" s="14" t="s">
        <v>109</v>
      </c>
      <c r="B1" s="183" t="s">
        <v>136</v>
      </c>
      <c r="C1" s="184"/>
      <c r="D1" s="184"/>
      <c r="E1" s="185"/>
    </row>
    <row r="2" spans="1:10" s="15" customFormat="1" ht="15" customHeight="1" thickBot="1" x14ac:dyDescent="0.3">
      <c r="A2" s="12"/>
      <c r="B2" s="16"/>
      <c r="F2" s="12"/>
      <c r="I2" s="13"/>
      <c r="J2" s="13"/>
    </row>
    <row r="3" spans="1:10" s="15" customFormat="1" ht="15" customHeight="1" thickBot="1" x14ac:dyDescent="0.3">
      <c r="A3" s="194" t="s">
        <v>139</v>
      </c>
      <c r="B3" s="195"/>
      <c r="C3" s="195"/>
      <c r="D3" s="195"/>
      <c r="E3" s="18"/>
      <c r="F3" s="12"/>
      <c r="G3" s="186" t="s">
        <v>96</v>
      </c>
      <c r="H3" s="187"/>
      <c r="I3" s="188"/>
      <c r="J3" s="13"/>
    </row>
    <row r="4" spans="1:10" s="15" customFormat="1" ht="15" customHeight="1" x14ac:dyDescent="0.25">
      <c r="A4" s="19" t="s">
        <v>100</v>
      </c>
      <c r="B4" s="240" t="s">
        <v>23</v>
      </c>
      <c r="C4" s="240"/>
      <c r="D4" s="22" t="s">
        <v>127</v>
      </c>
      <c r="E4" s="23" t="s">
        <v>42</v>
      </c>
      <c r="F4" s="14"/>
      <c r="G4" s="189" t="s">
        <v>97</v>
      </c>
      <c r="H4" s="190"/>
      <c r="I4" s="191"/>
      <c r="J4" s="13"/>
    </row>
    <row r="5" spans="1:10" s="15" customFormat="1" ht="15" customHeight="1" x14ac:dyDescent="0.25">
      <c r="A5" s="24" t="s">
        <v>138</v>
      </c>
      <c r="B5" s="192" t="s">
        <v>184</v>
      </c>
      <c r="C5" s="192"/>
      <c r="D5" s="25" t="s">
        <v>9</v>
      </c>
      <c r="E5" s="26"/>
      <c r="F5" s="14"/>
      <c r="G5" s="177"/>
      <c r="H5" s="178"/>
      <c r="I5" s="179"/>
      <c r="J5" s="13"/>
    </row>
    <row r="6" spans="1:10" s="15" customFormat="1" ht="15" customHeight="1" x14ac:dyDescent="0.25">
      <c r="A6" s="24" t="s">
        <v>4</v>
      </c>
      <c r="B6" s="193" t="s">
        <v>5</v>
      </c>
      <c r="C6" s="193"/>
      <c r="D6" s="28" t="s">
        <v>9</v>
      </c>
      <c r="E6" s="29"/>
      <c r="F6" s="12"/>
      <c r="G6" s="180"/>
      <c r="H6" s="181"/>
      <c r="I6" s="182"/>
      <c r="J6" s="13"/>
    </row>
    <row r="7" spans="1:10" s="15" customFormat="1" ht="15" customHeight="1" x14ac:dyDescent="0.25">
      <c r="A7" s="24" t="s">
        <v>17</v>
      </c>
      <c r="B7" s="193" t="s">
        <v>19</v>
      </c>
      <c r="C7" s="193"/>
      <c r="D7" s="28" t="s">
        <v>9</v>
      </c>
      <c r="E7" s="29"/>
      <c r="F7" s="12"/>
      <c r="G7" s="174" t="s">
        <v>98</v>
      </c>
      <c r="H7" s="175"/>
      <c r="I7" s="176"/>
      <c r="J7" s="13"/>
    </row>
    <row r="8" spans="1:10" s="15" customFormat="1" ht="15" customHeight="1" x14ac:dyDescent="0.25">
      <c r="A8" s="24" t="s">
        <v>62</v>
      </c>
      <c r="B8" s="193" t="s">
        <v>20</v>
      </c>
      <c r="C8" s="193"/>
      <c r="D8" s="28" t="s">
        <v>9</v>
      </c>
      <c r="E8" s="29"/>
      <c r="F8" s="12"/>
      <c r="G8" s="177"/>
      <c r="H8" s="178"/>
      <c r="I8" s="179"/>
      <c r="J8" s="13"/>
    </row>
    <row r="9" spans="1:10" s="15" customFormat="1" ht="15" customHeight="1" x14ac:dyDescent="0.25">
      <c r="A9" s="24" t="s">
        <v>63</v>
      </c>
      <c r="B9" s="193" t="s">
        <v>15</v>
      </c>
      <c r="C9" s="193"/>
      <c r="D9" s="28" t="s">
        <v>9</v>
      </c>
      <c r="E9" s="29"/>
      <c r="F9" s="12"/>
      <c r="G9" s="180"/>
      <c r="H9" s="181"/>
      <c r="I9" s="182"/>
      <c r="J9" s="13"/>
    </row>
    <row r="10" spans="1:10" s="15" customFormat="1" ht="15" customHeight="1" x14ac:dyDescent="0.25">
      <c r="A10" s="24" t="s">
        <v>168</v>
      </c>
      <c r="B10" s="245">
        <f>D10</f>
        <v>0.4</v>
      </c>
      <c r="C10" s="245"/>
      <c r="D10" s="170">
        <f>IF(B9="Rat",RatBWDefault,IF(B9="Mouse",MouseBWDefault,IF(B9="Dog",DogBWDefault,IF(B9="Rabbit",RabbitBWDefault,"Case-specific"))))</f>
        <v>0.4</v>
      </c>
      <c r="E10" s="29" t="s">
        <v>43</v>
      </c>
      <c r="F10" s="12"/>
      <c r="G10" s="205" t="s">
        <v>104</v>
      </c>
      <c r="H10" s="206"/>
      <c r="I10" s="207"/>
      <c r="J10" s="13"/>
    </row>
    <row r="11" spans="1:10" s="15" customFormat="1" ht="15" customHeight="1" x14ac:dyDescent="0.25">
      <c r="A11" s="24" t="s">
        <v>169</v>
      </c>
      <c r="B11" s="237">
        <f>D11</f>
        <v>60</v>
      </c>
      <c r="C11" s="237"/>
      <c r="D11" s="30">
        <f>HumanBWDefault</f>
        <v>60</v>
      </c>
      <c r="E11" s="31"/>
      <c r="F11" s="163"/>
      <c r="G11" s="208"/>
      <c r="H11" s="209"/>
      <c r="I11" s="210"/>
      <c r="J11" s="13"/>
    </row>
    <row r="12" spans="1:10" s="15" customFormat="1" ht="30" customHeight="1" x14ac:dyDescent="0.25">
      <c r="A12" s="24" t="s">
        <v>167</v>
      </c>
      <c r="B12" s="243">
        <f>D12</f>
        <v>0.05</v>
      </c>
      <c r="C12" s="243"/>
      <c r="D12" s="35">
        <f>IF(B6="Continuous",ContBMRDefault,IF(B6="Quantal-deterministic",QuantDeterBMRDefault,IF(B6="Quantal-stochastic",QuantStochBMRDefault,"")))</f>
        <v>0.05</v>
      </c>
      <c r="E12" s="31" t="s">
        <v>44</v>
      </c>
      <c r="F12" s="32"/>
      <c r="G12" s="208"/>
      <c r="H12" s="209"/>
      <c r="I12" s="210"/>
      <c r="J12" s="13"/>
    </row>
    <row r="13" spans="1:10" s="15" customFormat="1" ht="15" customHeight="1" thickBot="1" x14ac:dyDescent="0.3">
      <c r="A13" s="24" t="s">
        <v>170</v>
      </c>
      <c r="B13" s="244">
        <v>0.01</v>
      </c>
      <c r="C13" s="244"/>
      <c r="D13" s="35" t="s">
        <v>24</v>
      </c>
      <c r="E13" s="36"/>
      <c r="F13" s="12"/>
      <c r="G13" s="211"/>
      <c r="H13" s="212"/>
      <c r="I13" s="213"/>
      <c r="J13" s="13"/>
    </row>
    <row r="14" spans="1:10" s="15" customFormat="1" ht="15" customHeight="1" thickBot="1" x14ac:dyDescent="0.3">
      <c r="A14" s="24" t="s">
        <v>73</v>
      </c>
      <c r="B14" s="244">
        <f>D14</f>
        <v>0.95</v>
      </c>
      <c r="C14" s="244"/>
      <c r="D14" s="35">
        <v>0.95</v>
      </c>
      <c r="E14" s="36"/>
      <c r="F14" s="12"/>
      <c r="I14" s="13"/>
      <c r="J14" s="13"/>
    </row>
    <row r="15" spans="1:10" s="15" customFormat="1" ht="15" customHeight="1" thickBot="1" x14ac:dyDescent="0.3">
      <c r="A15" s="24" t="s">
        <v>146</v>
      </c>
      <c r="B15" s="193" t="s">
        <v>3</v>
      </c>
      <c r="C15" s="193"/>
      <c r="D15" s="28" t="s">
        <v>9</v>
      </c>
      <c r="E15" s="29"/>
      <c r="F15" s="12"/>
      <c r="G15" s="37" t="s">
        <v>110</v>
      </c>
      <c r="H15" s="38"/>
      <c r="I15" s="39"/>
      <c r="J15" s="13"/>
    </row>
    <row r="16" spans="1:10" ht="15" customHeight="1" x14ac:dyDescent="0.25">
      <c r="A16" s="24" t="s">
        <v>147</v>
      </c>
      <c r="B16" s="241">
        <v>100</v>
      </c>
      <c r="C16" s="241"/>
      <c r="D16" s="28" t="s">
        <v>9</v>
      </c>
      <c r="E16" s="29"/>
      <c r="G16" s="215" t="s">
        <v>111</v>
      </c>
      <c r="H16" s="216"/>
      <c r="I16" s="217"/>
    </row>
    <row r="17" spans="1:10" ht="15" customHeight="1" x14ac:dyDescent="0.25">
      <c r="A17" s="24" t="s">
        <v>166</v>
      </c>
      <c r="B17" s="242"/>
      <c r="C17" s="242"/>
      <c r="D17" s="28" t="str">
        <f>IF(B15="NOAEL","Blank if PoD is NOAEL/LOAEL","Case-specific")</f>
        <v>Blank if PoD is NOAEL/LOAEL</v>
      </c>
      <c r="E17" s="29" t="s">
        <v>45</v>
      </c>
      <c r="G17" s="218"/>
      <c r="H17" s="219"/>
      <c r="I17" s="220"/>
    </row>
    <row r="18" spans="1:10" ht="15" customHeight="1" x14ac:dyDescent="0.25">
      <c r="A18" s="24" t="s">
        <v>145</v>
      </c>
      <c r="B18" s="193" t="str">
        <f>D18</f>
        <v>mg/kg body weight per day</v>
      </c>
      <c r="C18" s="193"/>
      <c r="D18" s="28" t="str">
        <f>IF(B7="Oral","mg/kg body weight per day",IF(B7="Inhalation","mg/cu. m","User-specified"))</f>
        <v>mg/kg body weight per day</v>
      </c>
      <c r="E18" s="29"/>
      <c r="G18" s="218"/>
      <c r="H18" s="219"/>
      <c r="I18" s="220"/>
    </row>
    <row r="19" spans="1:10" ht="15" customHeight="1" x14ac:dyDescent="0.25">
      <c r="A19" s="24" t="s">
        <v>148</v>
      </c>
      <c r="B19" s="237">
        <v>100</v>
      </c>
      <c r="C19" s="237"/>
      <c r="D19" s="28" t="s">
        <v>9</v>
      </c>
      <c r="E19" s="29"/>
      <c r="F19" s="40"/>
      <c r="G19" s="218"/>
      <c r="H19" s="219"/>
      <c r="I19" s="220"/>
    </row>
    <row r="20" spans="1:10" ht="15" customHeight="1" thickBot="1" x14ac:dyDescent="0.3">
      <c r="A20" s="24" t="s">
        <v>125</v>
      </c>
      <c r="B20" s="238">
        <f>B16/B19</f>
        <v>1</v>
      </c>
      <c r="C20" s="238"/>
      <c r="D20" s="28" t="s">
        <v>40</v>
      </c>
      <c r="E20" s="29"/>
      <c r="G20" s="221"/>
      <c r="H20" s="222"/>
      <c r="I20" s="223"/>
    </row>
    <row r="21" spans="1:10" ht="15" customHeight="1" thickBot="1" x14ac:dyDescent="0.3">
      <c r="A21" s="115" t="s">
        <v>161</v>
      </c>
      <c r="B21" s="239">
        <v>1</v>
      </c>
      <c r="C21" s="239"/>
      <c r="D21" s="42" t="s">
        <v>144</v>
      </c>
      <c r="E21" s="43"/>
      <c r="G21" s="144"/>
      <c r="H21" s="144"/>
      <c r="I21" s="144"/>
    </row>
    <row r="22" spans="1:10" ht="15" customHeight="1" thickBot="1" x14ac:dyDescent="0.3">
      <c r="A22" s="44"/>
      <c r="B22" s="27"/>
      <c r="C22" s="28"/>
      <c r="D22" s="28"/>
      <c r="E22" s="28"/>
      <c r="J22" s="12"/>
    </row>
    <row r="23" spans="1:10" ht="15" customHeight="1" thickBot="1" x14ac:dyDescent="0.3">
      <c r="A23" s="194" t="s">
        <v>140</v>
      </c>
      <c r="B23" s="195"/>
      <c r="C23" s="195"/>
      <c r="D23" s="195"/>
      <c r="E23" s="17"/>
      <c r="F23" s="196" t="s">
        <v>129</v>
      </c>
      <c r="G23" s="197"/>
      <c r="H23" s="197"/>
      <c r="I23" s="198"/>
      <c r="J23" s="46" t="s">
        <v>118</v>
      </c>
    </row>
    <row r="24" spans="1:10" ht="15" customHeight="1" x14ac:dyDescent="0.25">
      <c r="A24" s="19" t="s">
        <v>99</v>
      </c>
      <c r="B24" s="20"/>
      <c r="C24" s="21" t="s">
        <v>23</v>
      </c>
      <c r="D24" s="22" t="s">
        <v>128</v>
      </c>
      <c r="E24" s="23" t="s">
        <v>42</v>
      </c>
      <c r="F24" s="47" t="s">
        <v>106</v>
      </c>
      <c r="G24" s="48"/>
      <c r="H24" s="49"/>
      <c r="I24" s="50" t="s">
        <v>117</v>
      </c>
      <c r="J24" s="51" t="s">
        <v>119</v>
      </c>
    </row>
    <row r="25" spans="1:10" ht="15" customHeight="1" x14ac:dyDescent="0.25">
      <c r="A25" s="24" t="s">
        <v>149</v>
      </c>
      <c r="B25" s="27" t="s">
        <v>71</v>
      </c>
      <c r="C25" s="157">
        <f>B16*IF(B15="BMDL",1,B16/C26)</f>
        <v>100</v>
      </c>
      <c r="D25" s="34" t="s">
        <v>69</v>
      </c>
      <c r="E25" s="34" t="s">
        <v>45</v>
      </c>
      <c r="F25" s="52" t="str">
        <f>A25</f>
        <v>PoD</v>
      </c>
      <c r="G25" s="53" t="s">
        <v>0</v>
      </c>
      <c r="H25" s="54">
        <f>SQRT(C25*C26)</f>
        <v>100</v>
      </c>
      <c r="I25" s="55"/>
      <c r="J25" s="156" t="str">
        <f>IF(I26&gt;0,I26/LOG($I$45)^2,"--")</f>
        <v>--</v>
      </c>
    </row>
    <row r="26" spans="1:10" ht="15" customHeight="1" x14ac:dyDescent="0.25">
      <c r="A26" s="8" t="s">
        <v>164</v>
      </c>
      <c r="B26" s="27" t="s">
        <v>72</v>
      </c>
      <c r="C26" s="158">
        <f>IF(B15="BMDL",B17,B16)</f>
        <v>100</v>
      </c>
      <c r="D26" s="34" t="s">
        <v>69</v>
      </c>
      <c r="E26" s="28" t="s">
        <v>45</v>
      </c>
      <c r="F26" s="56"/>
      <c r="G26" s="57" t="s">
        <v>1</v>
      </c>
      <c r="H26" s="58">
        <f>C26/H25</f>
        <v>1</v>
      </c>
      <c r="I26" s="59">
        <f>LOG(H26)^2</f>
        <v>0</v>
      </c>
      <c r="J26" s="60"/>
    </row>
    <row r="27" spans="1:10" ht="15" customHeight="1" x14ac:dyDescent="0.25">
      <c r="A27" s="24" t="s">
        <v>107</v>
      </c>
      <c r="B27" s="27" t="s">
        <v>71</v>
      </c>
      <c r="C27" s="161">
        <f t="shared" ref="C27:C32" si="0">D27</f>
        <v>7.0921985815602745E-2</v>
      </c>
      <c r="D27" s="162">
        <f>IF(B15&lt;&gt;"BMDL",IF(B6&lt;&gt;"Continuous",IF(B6="Quantal-deterministic",NOAELUncertQuantalDeterMedian,NOAELUncertQuantalStochMedian),IF(B8="Repro/Developmental",NOAELUncertContReproDevMedian,NOAELUncertContChrSubChrMedian)),1)*IF(B15&lt;&gt;"BMDL",IF(B6&lt;&gt;"Continuous",IF(B6="Quantal-deterministic",NOAELUncertQuantalDeterGSD,NOAELUncertQuantalStochGSD),IF(B8="Repro/Developmental",NOAELUncertContReproDevGSD,NOAELUncertContChrSubChrGSD)),1)^NORMSINV(0.05)</f>
        <v>7.0921985815602745E-2</v>
      </c>
      <c r="E27" s="28" t="s">
        <v>46</v>
      </c>
      <c r="F27" s="52" t="str">
        <f>A27</f>
        <v>NOAEL to BMD</v>
      </c>
      <c r="G27" s="53" t="s">
        <v>0</v>
      </c>
      <c r="H27" s="54">
        <f>SQRT(C27*C28)</f>
        <v>0.33333333333333315</v>
      </c>
      <c r="I27" s="61"/>
      <c r="J27" s="156">
        <f>IF(I28&gt;0,I28/LOG($I$45)^2,"--")</f>
        <v>0.41392404090426171</v>
      </c>
    </row>
    <row r="28" spans="1:10" ht="15" customHeight="1" x14ac:dyDescent="0.25">
      <c r="A28" s="8" t="s">
        <v>198</v>
      </c>
      <c r="B28" s="27" t="s">
        <v>72</v>
      </c>
      <c r="C28" s="62">
        <f t="shared" si="0"/>
        <v>1.5666666666666669</v>
      </c>
      <c r="D28" s="63">
        <f>IF(B15&lt;&gt;"BMDL",IF(B6&lt;&gt;"Continuous",IF(B6="Quantal-deterministic",NOAELUncertQuantalDeterMedian,NOAELUncertQuantalStochMedian),IF(B8="Repro/Developmental",NOAELUncertContReproDevMedian,NOAELUncertContChrSubChrMedian)),1)*IF(B15&lt;&gt;"BMDL",IF(B6&lt;&gt;"Continuous",IF(B6="Quantal-deterministic",NOAELUncertQuantalDeterGSD,NOAELUncertQuantalStochGSD),IF(B8="Repro/Developmental",NOAELUncertContReproDevGSD,NOAELUncertContChrSubChrGSD)),1)^NORMSINV(0.95)</f>
        <v>1.5666666666666669</v>
      </c>
      <c r="E28" s="28"/>
      <c r="F28" s="56"/>
      <c r="G28" s="57" t="s">
        <v>1</v>
      </c>
      <c r="H28" s="58">
        <f>C28/H27</f>
        <v>4.7000000000000028</v>
      </c>
      <c r="I28" s="59">
        <f>LOG(H28)^2</f>
        <v>0.45171553064178022</v>
      </c>
      <c r="J28" s="60"/>
    </row>
    <row r="29" spans="1:10" ht="15" customHeight="1" x14ac:dyDescent="0.25">
      <c r="A29" s="24" t="s">
        <v>6</v>
      </c>
      <c r="B29" s="27" t="s">
        <v>71</v>
      </c>
      <c r="C29" s="62">
        <f t="shared" si="0"/>
        <v>3.6794569614364461</v>
      </c>
      <c r="D29" s="63">
        <f>IF(B7="Oral",(B11/B10)^(1-AllomExponentMedian+NORMSINV(0.05)*AllomExponentSD),"Case-specific")</f>
        <v>3.6794569614364461</v>
      </c>
      <c r="E29" s="63" t="s">
        <v>47</v>
      </c>
      <c r="F29" s="52" t="str">
        <f>A29</f>
        <v>Interspecies scaling</v>
      </c>
      <c r="G29" s="53" t="s">
        <v>0</v>
      </c>
      <c r="H29" s="54">
        <f>SQRT(C29*C30)</f>
        <v>4.4960111304799177</v>
      </c>
      <c r="I29" s="61"/>
      <c r="J29" s="156">
        <f>IF(I30&gt;0,I30/LOG($I$45)^2,"--")</f>
        <v>6.942722713988209E-3</v>
      </c>
    </row>
    <row r="30" spans="1:10" ht="15" customHeight="1" x14ac:dyDescent="0.25">
      <c r="A30" s="8" t="s">
        <v>36</v>
      </c>
      <c r="B30" s="27" t="s">
        <v>72</v>
      </c>
      <c r="C30" s="62">
        <f t="shared" si="0"/>
        <v>5.4937770158093651</v>
      </c>
      <c r="D30" s="63">
        <f>IF(B7="Oral",(B11/B10)^(1-AllomExponentMedian+NORMSINV(0.95)*AllomExponentSD),"Case-specific")</f>
        <v>5.4937770158093651</v>
      </c>
      <c r="E30" s="63"/>
      <c r="F30" s="56"/>
      <c r="G30" s="57" t="s">
        <v>1</v>
      </c>
      <c r="H30" s="58">
        <f>C30/H29</f>
        <v>1.2219224677993497</v>
      </c>
      <c r="I30" s="59">
        <f>LOG(H30)^2</f>
        <v>7.576597068381671E-3</v>
      </c>
      <c r="J30" s="60"/>
    </row>
    <row r="31" spans="1:10" ht="15" customHeight="1" x14ac:dyDescent="0.25">
      <c r="A31" s="24" t="s">
        <v>137</v>
      </c>
      <c r="B31" s="27" t="s">
        <v>71</v>
      </c>
      <c r="C31" s="161">
        <f t="shared" si="0"/>
        <v>0.33333333333333298</v>
      </c>
      <c r="D31" s="162">
        <f>InterTKTDMedian*InterTKTDGSD^NORMSINV(0.05)</f>
        <v>0.33333333333333298</v>
      </c>
      <c r="E31" s="28" t="s">
        <v>48</v>
      </c>
      <c r="F31" s="52" t="str">
        <f>A31</f>
        <v>Interspecies TK/TD</v>
      </c>
      <c r="G31" s="53" t="s">
        <v>0</v>
      </c>
      <c r="H31" s="54">
        <f>SQRT(C31*C32)</f>
        <v>0.99999999999999956</v>
      </c>
      <c r="I31" s="61"/>
      <c r="J31" s="156">
        <f>IF(I32&gt;0,I32/LOG($I$45)^2,"--")</f>
        <v>0.20859944874415381</v>
      </c>
    </row>
    <row r="32" spans="1:10" ht="15" customHeight="1" x14ac:dyDescent="0.25">
      <c r="A32" s="8" t="s">
        <v>165</v>
      </c>
      <c r="B32" s="27" t="s">
        <v>72</v>
      </c>
      <c r="C32" s="62">
        <f t="shared" si="0"/>
        <v>3.0000000000000004</v>
      </c>
      <c r="D32" s="63">
        <f>InterTKTDMedian*InterTKTDGSD^NORMSINV(0.95)</f>
        <v>3.0000000000000004</v>
      </c>
      <c r="E32" s="63"/>
      <c r="F32" s="56"/>
      <c r="G32" s="57" t="s">
        <v>1</v>
      </c>
      <c r="H32" s="58">
        <f>C32/H31</f>
        <v>3.0000000000000018</v>
      </c>
      <c r="I32" s="59">
        <f>LOG(H32)^2</f>
        <v>0.22764469170526527</v>
      </c>
      <c r="J32" s="60"/>
    </row>
    <row r="33" spans="1:10" ht="15" customHeight="1" x14ac:dyDescent="0.25">
      <c r="A33" s="24" t="s">
        <v>150</v>
      </c>
      <c r="B33" s="27" t="s">
        <v>71</v>
      </c>
      <c r="C33" s="62">
        <f t="shared" ref="C33:C41" si="1">D33</f>
        <v>1</v>
      </c>
      <c r="D33" s="63">
        <f>IF(B8="Subchronic",SubchronicChronicMedian*SubchronicChronicGSD^NORMSINV(0.05),IF(B8="Subacute",SubacuteChronicMedian*SubacuteChronicGSD^NORMSINV(0.05),1))</f>
        <v>1</v>
      </c>
      <c r="E33" s="28"/>
      <c r="F33" s="52" t="str">
        <f>A33</f>
        <v>Duration extrapolation</v>
      </c>
      <c r="G33" s="53" t="s">
        <v>0</v>
      </c>
      <c r="H33" s="54">
        <f>SQRT(C33*C34)</f>
        <v>1</v>
      </c>
      <c r="I33" s="61"/>
      <c r="J33" s="156" t="str">
        <f>IF(I34&gt;0,I34/LOG($I$45)^2,"--")</f>
        <v>--</v>
      </c>
    </row>
    <row r="34" spans="1:10" ht="15" customHeight="1" x14ac:dyDescent="0.25">
      <c r="A34" s="8"/>
      <c r="B34" s="27" t="s">
        <v>72</v>
      </c>
      <c r="C34" s="62">
        <f t="shared" si="1"/>
        <v>1</v>
      </c>
      <c r="D34" s="63">
        <f>IF(B8="Subchronic",SubchronicChronicMedian*SubchronicChronicGSD^NORMSINV(0.95),IF(B8="Subacute",SubacuteChronicMedian*SubacuteChronicGSD^NORMSINV(0.95),1))</f>
        <v>1</v>
      </c>
      <c r="E34" s="28"/>
      <c r="F34" s="56"/>
      <c r="G34" s="57" t="s">
        <v>1</v>
      </c>
      <c r="H34" s="58">
        <f>C34/H33</f>
        <v>1</v>
      </c>
      <c r="I34" s="59">
        <f>LOG(H34)^2</f>
        <v>0</v>
      </c>
      <c r="J34" s="60"/>
    </row>
    <row r="35" spans="1:10" ht="15" customHeight="1" x14ac:dyDescent="0.25">
      <c r="A35" s="24" t="s">
        <v>41</v>
      </c>
      <c r="B35" s="27" t="s">
        <v>71</v>
      </c>
      <c r="C35" s="62">
        <f t="shared" si="1"/>
        <v>2.2400071320808088</v>
      </c>
      <c r="D35" s="63">
        <f>10^(NORMSINV(1-B13)*LogGSDHMedian/LogGSDHGSDU^NORMSINV(0.95))</f>
        <v>2.2400071320808088</v>
      </c>
      <c r="E35" s="63" t="s">
        <v>49</v>
      </c>
      <c r="F35" s="52" t="str">
        <f>A35</f>
        <v>Intraspecies</v>
      </c>
      <c r="G35" s="53" t="s">
        <v>0</v>
      </c>
      <c r="H35" s="54">
        <f>SQRT(C35*C36)</f>
        <v>9.6860208996610719</v>
      </c>
      <c r="I35" s="61"/>
      <c r="J35" s="156">
        <f>IF(I36&gt;0,I36/LOG($I$45)^2,"--")</f>
        <v>0.37053378763759554</v>
      </c>
    </row>
    <row r="36" spans="1:10" ht="15" customHeight="1" x14ac:dyDescent="0.25">
      <c r="A36" s="64"/>
      <c r="B36" s="27" t="s">
        <v>72</v>
      </c>
      <c r="C36" s="62">
        <f t="shared" si="1"/>
        <v>41.883349175553676</v>
      </c>
      <c r="D36" s="63">
        <f>10^(NORMSINV(1-B13)*LogGSDHMedian*LogGSDHGSDU^NORMSINV(0.95))</f>
        <v>41.883349175553676</v>
      </c>
      <c r="E36" s="63" t="s">
        <v>60</v>
      </c>
      <c r="F36" s="56"/>
      <c r="G36" s="57" t="s">
        <v>1</v>
      </c>
      <c r="H36" s="58">
        <f>C36/H35</f>
        <v>4.3241027052728365</v>
      </c>
      <c r="I36" s="59">
        <f>LOG(H36)^2</f>
        <v>0.40436372368653561</v>
      </c>
      <c r="J36" s="60"/>
    </row>
    <row r="37" spans="1:10" ht="15" customHeight="1" x14ac:dyDescent="0.25">
      <c r="A37" s="24" t="s">
        <v>10</v>
      </c>
      <c r="B37" s="27" t="s">
        <v>71</v>
      </c>
      <c r="C37" s="62">
        <v>1</v>
      </c>
      <c r="D37" s="63">
        <v>1</v>
      </c>
      <c r="E37" s="28" t="s">
        <v>101</v>
      </c>
      <c r="F37" s="52" t="str">
        <f t="shared" ref="F37:F42" si="2">A37</f>
        <v>Other aspect #1</v>
      </c>
      <c r="G37" s="53" t="s">
        <v>0</v>
      </c>
      <c r="H37" s="54">
        <f>SQRT(C37*C38)</f>
        <v>1</v>
      </c>
      <c r="I37" s="61"/>
      <c r="J37" s="156" t="str">
        <f>IF(I38&gt;0,I38/LOG($I$45)^2,"--")</f>
        <v>--</v>
      </c>
    </row>
    <row r="38" spans="1:10" ht="15" customHeight="1" x14ac:dyDescent="0.25">
      <c r="A38" s="65" t="s">
        <v>35</v>
      </c>
      <c r="B38" s="27" t="s">
        <v>72</v>
      </c>
      <c r="C38" s="62">
        <v>1</v>
      </c>
      <c r="D38" s="63">
        <v>1</v>
      </c>
      <c r="E38" s="28"/>
      <c r="F38" s="56" t="str">
        <f t="shared" si="2"/>
        <v xml:space="preserve">     (Description here)</v>
      </c>
      <c r="G38" s="57" t="s">
        <v>1</v>
      </c>
      <c r="H38" s="58">
        <f>C38/H37</f>
        <v>1</v>
      </c>
      <c r="I38" s="59">
        <f>LOG(H38)^2</f>
        <v>0</v>
      </c>
      <c r="J38" s="60"/>
    </row>
    <row r="39" spans="1:10" ht="15" customHeight="1" x14ac:dyDescent="0.25">
      <c r="A39" s="24" t="s">
        <v>11</v>
      </c>
      <c r="B39" s="27" t="s">
        <v>71</v>
      </c>
      <c r="C39" s="62">
        <f t="shared" si="1"/>
        <v>1</v>
      </c>
      <c r="D39" s="63">
        <v>1</v>
      </c>
      <c r="E39" s="28"/>
      <c r="F39" s="52" t="str">
        <f t="shared" si="2"/>
        <v>Other aspect #2</v>
      </c>
      <c r="G39" s="53" t="s">
        <v>0</v>
      </c>
      <c r="H39" s="54">
        <f>SQRT(C39*C40)</f>
        <v>1</v>
      </c>
      <c r="I39" s="61"/>
      <c r="J39" s="156" t="str">
        <f>IF(I40&gt;0,I40/LOG($I$45)^2,"--")</f>
        <v>--</v>
      </c>
    </row>
    <row r="40" spans="1:10" ht="15" customHeight="1" x14ac:dyDescent="0.25">
      <c r="A40" s="65" t="s">
        <v>35</v>
      </c>
      <c r="B40" s="27" t="s">
        <v>72</v>
      </c>
      <c r="C40" s="62">
        <f t="shared" si="1"/>
        <v>1</v>
      </c>
      <c r="D40" s="63">
        <v>1</v>
      </c>
      <c r="E40" s="28"/>
      <c r="F40" s="56" t="str">
        <f t="shared" si="2"/>
        <v xml:space="preserve">     (Description here)</v>
      </c>
      <c r="G40" s="57" t="s">
        <v>1</v>
      </c>
      <c r="H40" s="58">
        <f>C40/H39</f>
        <v>1</v>
      </c>
      <c r="I40" s="59">
        <f>LOG(H40)^2</f>
        <v>0</v>
      </c>
      <c r="J40" s="60"/>
    </row>
    <row r="41" spans="1:10" ht="15" customHeight="1" x14ac:dyDescent="0.25">
      <c r="A41" s="24" t="s">
        <v>12</v>
      </c>
      <c r="B41" s="27" t="s">
        <v>71</v>
      </c>
      <c r="C41" s="62">
        <f t="shared" si="1"/>
        <v>1</v>
      </c>
      <c r="D41" s="63">
        <v>1</v>
      </c>
      <c r="E41" s="28"/>
      <c r="F41" s="52" t="str">
        <f t="shared" si="2"/>
        <v>Other aspect #3</v>
      </c>
      <c r="G41" s="53" t="s">
        <v>0</v>
      </c>
      <c r="H41" s="54">
        <f>SQRT(C41*C42)</f>
        <v>1</v>
      </c>
      <c r="I41" s="61"/>
      <c r="J41" s="156" t="str">
        <f>IF(I42&gt;0,I42/LOG($I$45)^2,"--")</f>
        <v>--</v>
      </c>
    </row>
    <row r="42" spans="1:10" ht="15" customHeight="1" thickBot="1" x14ac:dyDescent="0.3">
      <c r="A42" s="66" t="s">
        <v>35</v>
      </c>
      <c r="B42" s="41" t="s">
        <v>72</v>
      </c>
      <c r="C42" s="159">
        <v>1</v>
      </c>
      <c r="D42" s="160">
        <v>1</v>
      </c>
      <c r="E42" s="42"/>
      <c r="F42" s="67" t="str">
        <f t="shared" si="2"/>
        <v xml:space="preserve">     (Description here)</v>
      </c>
      <c r="G42" s="68" t="s">
        <v>1</v>
      </c>
      <c r="H42" s="69">
        <f>C42/H41</f>
        <v>1</v>
      </c>
      <c r="I42" s="70">
        <f>LOG(H42)^2</f>
        <v>0</v>
      </c>
      <c r="J42" s="60"/>
    </row>
    <row r="43" spans="1:10" ht="15" customHeight="1" thickBot="1" x14ac:dyDescent="0.3">
      <c r="A43" s="71"/>
      <c r="C43" s="72"/>
      <c r="F43" s="73"/>
      <c r="G43" s="74"/>
      <c r="H43" s="75" t="s">
        <v>61</v>
      </c>
      <c r="I43" s="76" t="s">
        <v>83</v>
      </c>
      <c r="J43" s="77" t="s">
        <v>120</v>
      </c>
    </row>
    <row r="44" spans="1:10" ht="21" customHeight="1" thickBot="1" x14ac:dyDescent="0.4">
      <c r="A44" s="199" t="s">
        <v>156</v>
      </c>
      <c r="B44" s="200"/>
      <c r="C44" s="200"/>
      <c r="D44" s="201"/>
      <c r="E44" s="80"/>
      <c r="F44" s="81" t="s">
        <v>141</v>
      </c>
      <c r="G44" s="82" t="s">
        <v>0</v>
      </c>
      <c r="H44" s="151">
        <f>H25/PRODUCT(H27,H29,H31,H33,H35,H37,H39,H41)</f>
        <v>6.8888777083778665</v>
      </c>
      <c r="I44" s="152">
        <f>H25/PRODUCT(H27,H29,H31,H33,H35,H37,H39,H41)</f>
        <v>6.8888777083778665</v>
      </c>
      <c r="J44" s="83" t="s">
        <v>119</v>
      </c>
    </row>
    <row r="45" spans="1:10" ht="18.75" customHeight="1" thickBot="1" x14ac:dyDescent="0.4">
      <c r="A45" s="78" t="s">
        <v>141</v>
      </c>
      <c r="B45" s="79" t="s">
        <v>71</v>
      </c>
      <c r="C45" s="164">
        <f>H44/H45</f>
        <v>9.2467626797531566E-2</v>
      </c>
      <c r="D45" s="84" t="str">
        <f>$B$18</f>
        <v>mg/kg body weight per day</v>
      </c>
      <c r="E45" s="85"/>
      <c r="F45" s="86"/>
      <c r="G45" s="87" t="s">
        <v>131</v>
      </c>
      <c r="H45" s="168">
        <f>PRODUCT(H26,H28,H30,H32,H34,H36,H38,H40,H42)</f>
        <v>74.50042730589216</v>
      </c>
      <c r="I45" s="169">
        <f>10^(SQRT(SUM(I26,I28,I30,I32,I34,I36,I38,I40,I42)))</f>
        <v>11.082897390498934</v>
      </c>
      <c r="J45" s="88" t="str">
        <f>CHOOSE(MATCH(MAX(J25:J42),J25:J42,FALSE),F25,F26,F27,F28,F29,F30,F31,F32,F33,F34,F35,F36,F37,F38,F39,F40,F41,F42)</f>
        <v>NOAEL to BMD</v>
      </c>
    </row>
    <row r="46" spans="1:10" ht="15" customHeight="1" x14ac:dyDescent="0.25">
      <c r="A46" s="89"/>
      <c r="B46" s="90" t="s">
        <v>72</v>
      </c>
      <c r="C46" s="165">
        <f>H44*H45</f>
        <v>513.22433293218626</v>
      </c>
      <c r="D46" s="91" t="str">
        <f>$B$18</f>
        <v>mg/kg body weight per day</v>
      </c>
      <c r="E46" s="85"/>
    </row>
    <row r="47" spans="1:10" ht="15" customHeight="1" x14ac:dyDescent="0.25">
      <c r="A47" s="145" t="s">
        <v>64</v>
      </c>
      <c r="B47" s="146"/>
      <c r="C47" s="166">
        <f>C46/C45</f>
        <v>5550.3136687605229</v>
      </c>
      <c r="D47" s="92"/>
      <c r="E47" s="85"/>
      <c r="F47" s="14" t="s">
        <v>50</v>
      </c>
    </row>
    <row r="48" spans="1:10" ht="18.75" customHeight="1" thickBot="1" x14ac:dyDescent="0.4">
      <c r="A48" s="202" t="s">
        <v>142</v>
      </c>
      <c r="B48" s="203"/>
      <c r="C48" s="143"/>
      <c r="D48" s="93">
        <f>1-NORMDIST(LN(C45),LN(H44),LN(I45)/NORMSINV(0.95),TRUE)</f>
        <v>0.99839977033682148</v>
      </c>
      <c r="F48" s="214" t="s">
        <v>193</v>
      </c>
      <c r="G48" s="214"/>
      <c r="H48" s="214"/>
      <c r="I48" s="214"/>
      <c r="J48" s="214"/>
    </row>
    <row r="49" spans="1:10" ht="15" customHeight="1" x14ac:dyDescent="0.25">
      <c r="A49" s="204" t="s">
        <v>108</v>
      </c>
      <c r="B49" s="204"/>
      <c r="C49" s="204"/>
      <c r="D49" s="204"/>
      <c r="F49" s="214" t="s">
        <v>196</v>
      </c>
      <c r="G49" s="214"/>
      <c r="H49" s="214"/>
      <c r="I49" s="214"/>
      <c r="J49" s="214"/>
    </row>
    <row r="50" spans="1:10" ht="15" customHeight="1" thickBot="1" x14ac:dyDescent="0.3">
      <c r="E50" s="72"/>
      <c r="F50" s="214" t="s">
        <v>197</v>
      </c>
      <c r="G50" s="214"/>
      <c r="H50" s="214"/>
      <c r="I50" s="214"/>
      <c r="J50" s="214"/>
    </row>
    <row r="51" spans="1:10" ht="15" customHeight="1" thickBot="1" x14ac:dyDescent="0.3">
      <c r="A51" s="171" t="s">
        <v>84</v>
      </c>
      <c r="B51" s="172"/>
      <c r="C51" s="172"/>
      <c r="D51" s="173"/>
      <c r="F51" s="214" t="s">
        <v>194</v>
      </c>
      <c r="G51" s="214"/>
      <c r="H51" s="214"/>
      <c r="I51" s="214"/>
      <c r="J51" s="214"/>
    </row>
    <row r="52" spans="1:10" ht="15" customHeight="1" x14ac:dyDescent="0.25">
      <c r="A52" s="94" t="s">
        <v>89</v>
      </c>
      <c r="B52" s="95"/>
      <c r="C52" s="96"/>
      <c r="D52" s="97"/>
      <c r="F52" s="214" t="s">
        <v>95</v>
      </c>
      <c r="G52" s="214"/>
      <c r="H52" s="214"/>
      <c r="I52" s="214"/>
      <c r="J52" s="214"/>
    </row>
    <row r="53" spans="1:10" ht="19.5" customHeight="1" x14ac:dyDescent="0.35">
      <c r="A53" s="98" t="s">
        <v>141</v>
      </c>
      <c r="B53" s="99" t="s">
        <v>90</v>
      </c>
      <c r="C53" s="153">
        <f>H44/I45</f>
        <v>0.62157732456167225</v>
      </c>
      <c r="D53" s="100" t="str">
        <f>B18</f>
        <v>mg/kg body weight per day</v>
      </c>
      <c r="F53" s="214" t="s">
        <v>70</v>
      </c>
      <c r="G53" s="214"/>
      <c r="H53" s="214"/>
      <c r="I53" s="214"/>
      <c r="J53" s="214"/>
    </row>
    <row r="54" spans="1:10" ht="15" customHeight="1" x14ac:dyDescent="0.35">
      <c r="A54" s="101"/>
      <c r="B54" s="102" t="s">
        <v>91</v>
      </c>
      <c r="C54" s="154">
        <f>H44*I45</f>
        <v>76.348724777647334</v>
      </c>
      <c r="D54" s="103" t="str">
        <f>B18</f>
        <v>mg/kg body weight per day</v>
      </c>
      <c r="F54" s="214" t="s">
        <v>158</v>
      </c>
      <c r="G54" s="214"/>
      <c r="H54" s="214"/>
      <c r="I54" s="214"/>
      <c r="J54" s="214"/>
    </row>
    <row r="55" spans="1:10" ht="16.5" customHeight="1" x14ac:dyDescent="0.25">
      <c r="A55" s="229" t="s">
        <v>122</v>
      </c>
      <c r="B55" s="230"/>
      <c r="C55" s="139"/>
      <c r="D55" s="167">
        <f>C54/C53</f>
        <v>122.83061456832809</v>
      </c>
      <c r="F55" s="214" t="s">
        <v>94</v>
      </c>
      <c r="G55" s="214"/>
      <c r="H55" s="214"/>
      <c r="I55" s="214"/>
      <c r="J55" s="214"/>
    </row>
    <row r="56" spans="1:10" ht="15" customHeight="1" thickBot="1" x14ac:dyDescent="0.3">
      <c r="A56" s="227" t="s">
        <v>126</v>
      </c>
      <c r="B56" s="228"/>
      <c r="C56" s="104"/>
      <c r="D56" s="105">
        <f>1-NORMDIST(LN(B20),LN(H44),LN(I45)/NORMSINV(0.95),TRUE)</f>
        <v>0.90653281290712007</v>
      </c>
      <c r="F56" s="214" t="s">
        <v>114</v>
      </c>
      <c r="G56" s="214"/>
      <c r="H56" s="214"/>
      <c r="I56" s="214"/>
      <c r="J56" s="214"/>
    </row>
    <row r="57" spans="1:10" ht="16.5" customHeight="1" x14ac:dyDescent="0.25">
      <c r="A57" s="140" t="s">
        <v>151</v>
      </c>
      <c r="B57" s="224" t="s">
        <v>157</v>
      </c>
      <c r="C57" s="225"/>
      <c r="D57" s="226"/>
      <c r="F57" s="214" t="s">
        <v>93</v>
      </c>
      <c r="G57" s="214"/>
      <c r="H57" s="214"/>
      <c r="I57" s="214"/>
      <c r="J57" s="214"/>
    </row>
    <row r="58" spans="1:10" ht="15" customHeight="1" x14ac:dyDescent="0.25">
      <c r="A58" s="155">
        <f>H44/(I45^(NORMSINV(B14)/NORMSINV(0.95)))</f>
        <v>0.62157732456167225</v>
      </c>
      <c r="B58" s="232" t="str">
        <f>CONCATENATE("= Estimate of dose (",B18,") at which, with")</f>
        <v>= Estimate of dose (mg/kg body weight per day) at which, with</v>
      </c>
      <c r="C58" s="232"/>
      <c r="D58" s="233"/>
      <c r="F58" s="214" t="s">
        <v>92</v>
      </c>
      <c r="G58" s="214"/>
      <c r="H58" s="214"/>
      <c r="I58" s="214"/>
      <c r="J58" s="214"/>
    </row>
    <row r="59" spans="1:10" ht="15" customHeight="1" x14ac:dyDescent="0.25">
      <c r="A59" s="107"/>
      <c r="B59" s="142">
        <f>B14</f>
        <v>0.95</v>
      </c>
      <c r="C59" s="108" t="s">
        <v>74</v>
      </c>
      <c r="D59" s="106"/>
      <c r="F59" s="214" t="s">
        <v>160</v>
      </c>
      <c r="G59" s="214"/>
      <c r="H59" s="214"/>
      <c r="I59" s="214"/>
      <c r="J59" s="214"/>
    </row>
    <row r="60" spans="1:10" ht="15" customHeight="1" x14ac:dyDescent="0.25">
      <c r="A60" s="109"/>
      <c r="B60" s="142">
        <f>B13</f>
        <v>0.01</v>
      </c>
      <c r="C60" s="108" t="s">
        <v>65</v>
      </c>
      <c r="D60" s="141" t="str">
        <f>B5</f>
        <v>[e.g. Decreased fetal bw]</v>
      </c>
      <c r="F60" s="214" t="s">
        <v>159</v>
      </c>
      <c r="G60" s="214"/>
      <c r="H60" s="214"/>
      <c r="I60" s="214"/>
      <c r="J60" s="214"/>
    </row>
    <row r="61" spans="1:10" ht="15" customHeight="1" thickBot="1" x14ac:dyDescent="0.3">
      <c r="A61" s="147"/>
      <c r="B61" s="148" t="str">
        <f>IF(B6&lt;&gt;"Quantal-deterministic","of magnitude","")</f>
        <v>of magnitude</v>
      </c>
      <c r="C61" s="149" t="str">
        <f>IF(B6&lt;&gt;"Quantal-deterministic","≥","")</f>
        <v>≥</v>
      </c>
      <c r="D61" s="150">
        <f>IF(B6&lt;&gt;"Quantal-deterministic",IF(B15&lt;&gt;"BMDL",D12,B12),"")</f>
        <v>0.05</v>
      </c>
      <c r="F61" s="214" t="s">
        <v>195</v>
      </c>
      <c r="G61" s="214"/>
      <c r="H61" s="214"/>
      <c r="I61" s="214"/>
      <c r="J61" s="214"/>
    </row>
    <row r="62" spans="1:10" ht="15" customHeight="1" x14ac:dyDescent="0.25">
      <c r="A62" s="110"/>
      <c r="F62" s="214" t="s">
        <v>102</v>
      </c>
      <c r="G62" s="214"/>
      <c r="H62" s="214"/>
      <c r="I62" s="214"/>
      <c r="J62" s="214"/>
    </row>
    <row r="63" spans="1:10" ht="15" customHeight="1" thickBot="1" x14ac:dyDescent="0.3">
      <c r="F63" s="231" t="s">
        <v>103</v>
      </c>
      <c r="G63" s="231"/>
      <c r="H63" s="231"/>
      <c r="I63" s="231"/>
      <c r="J63" s="231"/>
    </row>
    <row r="64" spans="1:10" ht="15" customHeight="1" thickBot="1" x14ac:dyDescent="0.3">
      <c r="A64" s="234" t="s">
        <v>123</v>
      </c>
      <c r="B64" s="235"/>
      <c r="C64" s="235"/>
      <c r="D64" s="236"/>
    </row>
    <row r="65" spans="1:4" x14ac:dyDescent="0.25">
      <c r="A65" s="19" t="s">
        <v>52</v>
      </c>
      <c r="B65" s="20"/>
      <c r="C65" s="21" t="s">
        <v>23</v>
      </c>
      <c r="D65" s="23" t="s">
        <v>25</v>
      </c>
    </row>
    <row r="66" spans="1:4" x14ac:dyDescent="0.25">
      <c r="A66" s="24" t="s">
        <v>171</v>
      </c>
      <c r="B66" s="27"/>
      <c r="C66" s="111">
        <f>D66</f>
        <v>1E-4</v>
      </c>
      <c r="D66" s="112">
        <v>1E-4</v>
      </c>
    </row>
    <row r="67" spans="1:4" x14ac:dyDescent="0.25">
      <c r="A67" s="24" t="s">
        <v>185</v>
      </c>
      <c r="B67" s="27"/>
      <c r="C67" s="111">
        <f>D67</f>
        <v>0.5</v>
      </c>
      <c r="D67" s="36">
        <v>0.5</v>
      </c>
    </row>
    <row r="68" spans="1:4" x14ac:dyDescent="0.25">
      <c r="A68" s="24" t="s">
        <v>130</v>
      </c>
      <c r="B68" s="27"/>
      <c r="C68" s="33">
        <f t="shared" ref="C68:C73" si="3">D68</f>
        <v>0.99</v>
      </c>
      <c r="D68" s="36">
        <v>0.99</v>
      </c>
    </row>
    <row r="69" spans="1:4" x14ac:dyDescent="0.25">
      <c r="A69" s="24" t="s">
        <v>121</v>
      </c>
      <c r="B69" s="27"/>
      <c r="C69" s="33">
        <f t="shared" si="3"/>
        <v>0.95</v>
      </c>
      <c r="D69" s="36">
        <v>0.95</v>
      </c>
    </row>
    <row r="70" spans="1:4" x14ac:dyDescent="0.25">
      <c r="A70" s="8"/>
      <c r="B70" s="9"/>
      <c r="C70" s="33">
        <f t="shared" si="3"/>
        <v>0.9</v>
      </c>
      <c r="D70" s="36">
        <v>0.9</v>
      </c>
    </row>
    <row r="71" spans="1:4" x14ac:dyDescent="0.25">
      <c r="A71" s="8"/>
      <c r="B71" s="9"/>
      <c r="C71" s="33">
        <f t="shared" si="3"/>
        <v>0.1</v>
      </c>
      <c r="D71" s="36">
        <v>0.1</v>
      </c>
    </row>
    <row r="72" spans="1:4" x14ac:dyDescent="0.25">
      <c r="A72" s="8"/>
      <c r="B72" s="9"/>
      <c r="C72" s="33">
        <f t="shared" si="3"/>
        <v>0.05</v>
      </c>
      <c r="D72" s="36">
        <v>0.05</v>
      </c>
    </row>
    <row r="73" spans="1:4" ht="15.75" thickBot="1" x14ac:dyDescent="0.3">
      <c r="A73" s="10"/>
      <c r="B73" s="11"/>
      <c r="C73" s="113">
        <f t="shared" si="3"/>
        <v>0.01</v>
      </c>
      <c r="D73" s="114">
        <v>0.01</v>
      </c>
    </row>
    <row r="74" spans="1:4" x14ac:dyDescent="0.25">
      <c r="A74" s="13"/>
      <c r="B74" s="13"/>
      <c r="C74" s="13"/>
      <c r="D74" s="13"/>
    </row>
    <row r="75" spans="1:4" x14ac:dyDescent="0.25">
      <c r="C75" s="72"/>
    </row>
    <row r="76" spans="1:4" x14ac:dyDescent="0.25">
      <c r="C76" s="72"/>
    </row>
    <row r="77" spans="1:4" x14ac:dyDescent="0.25">
      <c r="A77" s="14"/>
      <c r="C77" s="72"/>
    </row>
    <row r="86" spans="1:9" ht="15.75" thickBot="1" x14ac:dyDescent="0.3"/>
    <row r="87" spans="1:9" ht="15" customHeight="1" thickBot="1" x14ac:dyDescent="0.3">
      <c r="A87" s="196" t="s">
        <v>124</v>
      </c>
      <c r="B87" s="197"/>
      <c r="C87" s="197"/>
      <c r="D87" s="197"/>
      <c r="E87" s="45"/>
      <c r="F87" s="45"/>
      <c r="G87" s="45"/>
      <c r="H87" s="45"/>
      <c r="I87" s="116"/>
    </row>
    <row r="88" spans="1:9" ht="18.75" x14ac:dyDescent="0.35">
      <c r="A88" s="47" t="s">
        <v>172</v>
      </c>
      <c r="B88" s="117" t="s">
        <v>116</v>
      </c>
      <c r="C88" s="75" t="s">
        <v>135</v>
      </c>
      <c r="D88" s="118" t="s">
        <v>143</v>
      </c>
      <c r="E88" s="118" t="s">
        <v>1</v>
      </c>
      <c r="F88" s="119"/>
      <c r="G88" s="119"/>
      <c r="H88" s="119"/>
      <c r="I88" s="120"/>
    </row>
    <row r="89" spans="1:9" x14ac:dyDescent="0.25">
      <c r="A89" s="121">
        <f>$C$66</f>
        <v>1E-4</v>
      </c>
      <c r="B89" s="122">
        <f t="shared" ref="B89:B108" si="4">10^(NORMSINV(1-A89)*(LogGSDHMedian/LogGSDHGSDU^NORMSINV(0.95)+LogGSDHMedian*LogGSDHGSDU^NORMSINV(0.95))/2)</f>
        <v>37.713908246018995</v>
      </c>
      <c r="C89" s="123">
        <f t="shared" ref="C89:C108" si="5">10^(NORMSINV(1-A89)*LogGSDHMedian*LogGSDHGSDU^NORMSINV(0.95))/B89</f>
        <v>10.389036361789117</v>
      </c>
      <c r="D89" s="123">
        <f>$H$25/PRODUCT($H$27,$H$29,$H$31,$H$33,B89,$H$37,$H$39,$H$41)</f>
        <v>1.769262761718702</v>
      </c>
      <c r="E89" s="124">
        <f t="shared" ref="E89:E108" si="6">10^(SQRT(SUM($I$26,$I$28,$I$30,$I$32,$I$34,LOG(C89)^2,$I$38,$I$40,$I$42)))</f>
        <v>20.493953368208572</v>
      </c>
      <c r="F89" s="125"/>
      <c r="G89" s="123"/>
      <c r="H89" s="123"/>
      <c r="I89" s="126"/>
    </row>
    <row r="90" spans="1:9" x14ac:dyDescent="0.25">
      <c r="A90" s="121">
        <f t="shared" ref="A90:A108" si="7">A89*($C$67/$C$66)^(1/19)</f>
        <v>1.5656065579430965E-4</v>
      </c>
      <c r="B90" s="122">
        <f t="shared" si="4"/>
        <v>33.715422004927596</v>
      </c>
      <c r="C90" s="123">
        <f t="shared" si="5"/>
        <v>9.6647250003787555</v>
      </c>
      <c r="D90" s="123">
        <f t="shared" ref="D90:D108" si="8">$H$25/PRODUCT($H$27,$H$29,$H$31,$H$33,B90,$H$37,$H$39,$H$41)</f>
        <v>1.9790887816502829</v>
      </c>
      <c r="E90" s="124">
        <f t="shared" si="6"/>
        <v>19.384427487202473</v>
      </c>
      <c r="F90" s="125"/>
      <c r="G90" s="123"/>
      <c r="H90" s="123"/>
      <c r="I90" s="126"/>
    </row>
    <row r="91" spans="1:9" x14ac:dyDescent="0.25">
      <c r="A91" s="121">
        <f t="shared" si="7"/>
        <v>2.45112389427443E-4</v>
      </c>
      <c r="B91" s="122">
        <f t="shared" si="4"/>
        <v>30.042967506754991</v>
      </c>
      <c r="C91" s="123">
        <f t="shared" si="5"/>
        <v>8.9720709630191937</v>
      </c>
      <c r="D91" s="123">
        <f t="shared" si="8"/>
        <v>2.2210127359607323</v>
      </c>
      <c r="E91" s="124">
        <f t="shared" si="6"/>
        <v>18.319341598763994</v>
      </c>
      <c r="F91" s="125"/>
      <c r="G91" s="123"/>
      <c r="H91" s="123"/>
      <c r="I91" s="126"/>
    </row>
    <row r="92" spans="1:9" x14ac:dyDescent="0.25">
      <c r="A92" s="121">
        <f t="shared" si="7"/>
        <v>3.8374956432070688E-4</v>
      </c>
      <c r="B92" s="122">
        <f t="shared" si="4"/>
        <v>26.675845137584673</v>
      </c>
      <c r="C92" s="123">
        <f t="shared" si="5"/>
        <v>8.3100491072110252</v>
      </c>
      <c r="D92" s="123">
        <f t="shared" si="8"/>
        <v>2.501357055958636</v>
      </c>
      <c r="E92" s="124">
        <f t="shared" si="6"/>
        <v>17.297577764206618</v>
      </c>
      <c r="F92" s="125"/>
      <c r="G92" s="123"/>
      <c r="H92" s="123"/>
      <c r="I92" s="126"/>
    </row>
    <row r="93" spans="1:9" x14ac:dyDescent="0.25">
      <c r="A93" s="121">
        <f t="shared" si="7"/>
        <v>6.0080083450830477E-4</v>
      </c>
      <c r="B93" s="122">
        <f t="shared" si="4"/>
        <v>23.594409064384127</v>
      </c>
      <c r="C93" s="123">
        <f t="shared" si="5"/>
        <v>7.6776498530697461</v>
      </c>
      <c r="D93" s="123">
        <f t="shared" si="8"/>
        <v>2.8280349499950064</v>
      </c>
      <c r="E93" s="124">
        <f t="shared" si="6"/>
        <v>16.318075687351659</v>
      </c>
      <c r="F93" s="125"/>
      <c r="G93" s="123"/>
      <c r="H93" s="123"/>
      <c r="I93" s="126"/>
    </row>
    <row r="94" spans="1:9" x14ac:dyDescent="0.25">
      <c r="A94" s="121">
        <f t="shared" si="7"/>
        <v>9.4061772652388699E-4</v>
      </c>
      <c r="B94" s="122">
        <f t="shared" si="4"/>
        <v>20.78002224977039</v>
      </c>
      <c r="C94" s="123">
        <f t="shared" si="5"/>
        <v>7.0738767723473481</v>
      </c>
      <c r="D94" s="123">
        <f t="shared" si="8"/>
        <v>3.2110559197930879</v>
      </c>
      <c r="E94" s="124">
        <f t="shared" si="6"/>
        <v>15.379840790591864</v>
      </c>
      <c r="F94" s="125"/>
      <c r="G94" s="123"/>
      <c r="H94" s="123"/>
      <c r="I94" s="126"/>
    </row>
    <row r="95" spans="1:9" x14ac:dyDescent="0.25">
      <c r="A95" s="121">
        <f t="shared" si="7"/>
        <v>1.4726372811633235E-3</v>
      </c>
      <c r="B95" s="122">
        <f t="shared" si="4"/>
        <v>18.215012822104402</v>
      </c>
      <c r="C95" s="123">
        <f t="shared" si="5"/>
        <v>6.497743524027042</v>
      </c>
      <c r="D95" s="123">
        <f t="shared" si="8"/>
        <v>3.6632317588919698</v>
      </c>
      <c r="E95" s="124">
        <f t="shared" si="6"/>
        <v>14.481955474939872</v>
      </c>
      <c r="F95" s="125"/>
      <c r="G95" s="123"/>
      <c r="H95" s="123"/>
      <c r="I95" s="126"/>
    </row>
    <row r="96" spans="1:9" x14ac:dyDescent="0.25">
      <c r="A96" s="121">
        <f t="shared" si="7"/>
        <v>2.3055705848607907E-3</v>
      </c>
      <c r="B96" s="122">
        <f t="shared" si="4"/>
        <v>15.882631635664882</v>
      </c>
      <c r="C96" s="123">
        <f t="shared" si="5"/>
        <v>5.9482698579999136</v>
      </c>
      <c r="D96" s="123">
        <f t="shared" si="8"/>
        <v>4.2011812015285086</v>
      </c>
      <c r="E96" s="124">
        <f t="shared" si="6"/>
        <v>13.623595031559928</v>
      </c>
      <c r="F96" s="125"/>
      <c r="G96" s="123"/>
      <c r="H96" s="123"/>
      <c r="I96" s="126"/>
    </row>
    <row r="97" spans="1:9" x14ac:dyDescent="0.25">
      <c r="A97" s="121">
        <f t="shared" si="7"/>
        <v>3.6096164274587541E-3</v>
      </c>
      <c r="B97" s="122">
        <f t="shared" si="4"/>
        <v>13.76701078845649</v>
      </c>
      <c r="C97" s="123">
        <f t="shared" si="5"/>
        <v>5.4244762621842399</v>
      </c>
      <c r="D97" s="123">
        <f t="shared" si="8"/>
        <v>4.8467902352852272</v>
      </c>
      <c r="E97" s="124">
        <f t="shared" si="6"/>
        <v>12.804050508358708</v>
      </c>
      <c r="F97" s="125"/>
      <c r="G97" s="123"/>
      <c r="H97" s="123"/>
      <c r="I97" s="126"/>
    </row>
    <row r="98" spans="1:9" x14ac:dyDescent="0.25">
      <c r="A98" s="121">
        <f t="shared" si="7"/>
        <v>5.6512391504885571E-3</v>
      </c>
      <c r="B98" s="122">
        <f t="shared" si="4"/>
        <v>11.853122749808991</v>
      </c>
      <c r="C98" s="123">
        <f t="shared" si="5"/>
        <v>4.9253765877638065</v>
      </c>
      <c r="D98" s="123">
        <f t="shared" si="8"/>
        <v>5.6293868600688004</v>
      </c>
      <c r="E98" s="124">
        <f t="shared" si="6"/>
        <v>12.022762253902037</v>
      </c>
      <c r="F98" s="125"/>
      <c r="G98" s="123"/>
      <c r="H98" s="123"/>
      <c r="I98" s="126"/>
    </row>
    <row r="99" spans="1:9" x14ac:dyDescent="0.25">
      <c r="A99" s="121">
        <f t="shared" si="7"/>
        <v>8.8476170745096592E-3</v>
      </c>
      <c r="B99" s="122">
        <f t="shared" si="4"/>
        <v>10.126739545715937</v>
      </c>
      <c r="C99" s="123">
        <f t="shared" si="5"/>
        <v>4.449967577125479</v>
      </c>
      <c r="D99" s="123">
        <f t="shared" si="8"/>
        <v>6.5890717498294196</v>
      </c>
      <c r="E99" s="124">
        <f t="shared" si="6"/>
        <v>11.279370356758328</v>
      </c>
      <c r="F99" s="125"/>
      <c r="G99" s="123"/>
      <c r="H99" s="123"/>
      <c r="I99" s="126"/>
    </row>
    <row r="100" spans="1:9" x14ac:dyDescent="0.25">
      <c r="A100" s="121">
        <f t="shared" si="7"/>
        <v>1.3851887314021637E-2</v>
      </c>
      <c r="B100" s="122">
        <f t="shared" si="4"/>
        <v>8.5743910750378252</v>
      </c>
      <c r="C100" s="123">
        <f t="shared" si="5"/>
        <v>3.9972134922872034</v>
      </c>
      <c r="D100" s="123">
        <f t="shared" si="8"/>
        <v>7.7819885837505884</v>
      </c>
      <c r="E100" s="124">
        <f t="shared" si="6"/>
        <v>10.573792776722213</v>
      </c>
      <c r="F100" s="125"/>
      <c r="G100" s="123"/>
      <c r="H100" s="123"/>
      <c r="I100" s="126"/>
    </row>
    <row r="101" spans="1:9" x14ac:dyDescent="0.25">
      <c r="A101" s="121">
        <f t="shared" si="7"/>
        <v>2.1686605618721058E-2</v>
      </c>
      <c r="B101" s="122">
        <f t="shared" si="4"/>
        <v>7.1833209108007052</v>
      </c>
      <c r="C101" s="123">
        <f t="shared" si="5"/>
        <v>3.5660226929084557</v>
      </c>
      <c r="D101" s="123">
        <f t="shared" si="8"/>
        <v>9.288992415503758</v>
      </c>
      <c r="E101" s="124">
        <f t="shared" si="6"/>
        <v>9.9063507852205213</v>
      </c>
      <c r="F101" s="125"/>
      <c r="G101" s="123"/>
      <c r="H101" s="123"/>
      <c r="I101" s="126"/>
    </row>
    <row r="102" spans="1:9" x14ac:dyDescent="0.25">
      <c r="A102" s="121">
        <f t="shared" si="7"/>
        <v>3.3952691976195291E-2</v>
      </c>
      <c r="B102" s="122">
        <f t="shared" si="4"/>
        <v>5.9414364867249105</v>
      </c>
      <c r="C102" s="123">
        <f t="shared" si="5"/>
        <v>3.1552103695810789</v>
      </c>
      <c r="D102" s="123">
        <f t="shared" si="8"/>
        <v>11.230586005193244</v>
      </c>
      <c r="E102" s="124">
        <f t="shared" si="6"/>
        <v>9.2779793492056175</v>
      </c>
      <c r="F102" s="125"/>
      <c r="G102" s="123"/>
      <c r="H102" s="123"/>
      <c r="I102" s="126"/>
    </row>
    <row r="103" spans="1:9" x14ac:dyDescent="0.25">
      <c r="A103" s="121">
        <f t="shared" si="7"/>
        <v>5.3156557217753302E-2</v>
      </c>
      <c r="B103" s="122">
        <f t="shared" si="4"/>
        <v>4.8372474308941076</v>
      </c>
      <c r="C103" s="123">
        <f t="shared" si="5"/>
        <v>2.7634361030808745</v>
      </c>
      <c r="D103" s="123">
        <f t="shared" si="8"/>
        <v>13.794170013383793</v>
      </c>
      <c r="E103" s="124">
        <f t="shared" si="6"/>
        <v>8.6905995961868072</v>
      </c>
      <c r="F103" s="125"/>
      <c r="G103" s="123"/>
      <c r="H103" s="123"/>
      <c r="I103" s="126"/>
    </row>
    <row r="104" spans="1:9" x14ac:dyDescent="0.25">
      <c r="A104" s="121">
        <f t="shared" si="7"/>
        <v>8.3222254577792004E-2</v>
      </c>
      <c r="B104" s="122">
        <f t="shared" si="4"/>
        <v>3.8597784662833399</v>
      </c>
      <c r="C104" s="123">
        <f t="shared" si="5"/>
        <v>2.3890923421199757</v>
      </c>
      <c r="D104" s="123">
        <f t="shared" si="8"/>
        <v>17.287472335895213</v>
      </c>
      <c r="E104" s="124">
        <f t="shared" si="6"/>
        <v>8.1478250804471148</v>
      </c>
      <c r="F104" s="125"/>
      <c r="G104" s="123"/>
      <c r="H104" s="123"/>
      <c r="I104" s="126"/>
    </row>
    <row r="105" spans="1:9" x14ac:dyDescent="0.25">
      <c r="A105" s="121">
        <f t="shared" si="7"/>
        <v>0.13029330753380103</v>
      </c>
      <c r="B105" s="122">
        <f t="shared" si="4"/>
        <v>2.9984242511294705</v>
      </c>
      <c r="C105" s="123">
        <f t="shared" si="5"/>
        <v>2.0300881624731244</v>
      </c>
      <c r="D105" s="123">
        <f t="shared" si="8"/>
        <v>22.253626528474907</v>
      </c>
      <c r="E105" s="124">
        <f t="shared" si="6"/>
        <v>7.6564270539468406</v>
      </c>
      <c r="F105" s="125"/>
      <c r="G105" s="123"/>
      <c r="H105" s="123"/>
      <c r="I105" s="126"/>
    </row>
    <row r="106" spans="1:9" x14ac:dyDescent="0.25">
      <c r="A106" s="121">
        <f t="shared" si="7"/>
        <v>0.20398805673101555</v>
      </c>
      <c r="B106" s="122">
        <f t="shared" si="4"/>
        <v>2.2426568269827332</v>
      </c>
      <c r="C106" s="123">
        <f t="shared" si="5"/>
        <v>1.6833806917550964</v>
      </c>
      <c r="D106" s="123">
        <f t="shared" si="8"/>
        <v>29.753020014359528</v>
      </c>
      <c r="E106" s="124">
        <f t="shared" si="6"/>
        <v>7.2297738424072042</v>
      </c>
      <c r="F106" s="125"/>
      <c r="G106" s="123"/>
      <c r="H106" s="123"/>
      <c r="I106" s="126"/>
    </row>
    <row r="107" spans="1:9" x14ac:dyDescent="0.25">
      <c r="A107" s="121">
        <f t="shared" si="7"/>
        <v>0.31936503936014637</v>
      </c>
      <c r="B107" s="122">
        <f t="shared" si="4"/>
        <v>1.5812910557638242</v>
      </c>
      <c r="C107" s="123">
        <f t="shared" si="5"/>
        <v>1.3437818171440863</v>
      </c>
      <c r="D107" s="123">
        <f t="shared" si="8"/>
        <v>42.197047289517599</v>
      </c>
      <c r="E107" s="124">
        <f t="shared" si="6"/>
        <v>6.8975123764732231</v>
      </c>
      <c r="F107" s="125"/>
      <c r="G107" s="123"/>
      <c r="H107" s="123"/>
      <c r="I107" s="126"/>
    </row>
    <row r="108" spans="1:9" x14ac:dyDescent="0.25">
      <c r="A108" s="121">
        <f t="shared" si="7"/>
        <v>0.50000000000000033</v>
      </c>
      <c r="B108" s="122">
        <f t="shared" si="4"/>
        <v>0.99999999999999911</v>
      </c>
      <c r="C108" s="123">
        <f t="shared" si="5"/>
        <v>0.99999999999999956</v>
      </c>
      <c r="D108" s="123">
        <f t="shared" si="8"/>
        <v>66.725813458557354</v>
      </c>
      <c r="E108" s="124">
        <f t="shared" si="6"/>
        <v>6.7424311029405555</v>
      </c>
      <c r="F108" s="125"/>
      <c r="G108" s="123"/>
      <c r="H108" s="123"/>
      <c r="I108" s="126"/>
    </row>
    <row r="109" spans="1:9" ht="15.75" thickBot="1" x14ac:dyDescent="0.3">
      <c r="A109" s="67"/>
      <c r="B109" s="122"/>
      <c r="C109" s="123"/>
      <c r="D109" s="123"/>
      <c r="E109" s="123"/>
      <c r="F109" s="125"/>
      <c r="G109" s="123"/>
      <c r="H109" s="123"/>
      <c r="I109" s="126"/>
    </row>
    <row r="110" spans="1:9" x14ac:dyDescent="0.25">
      <c r="A110" s="73"/>
      <c r="B110" s="75" t="s">
        <v>115</v>
      </c>
      <c r="C110" s="75"/>
      <c r="D110" s="75"/>
      <c r="E110" s="75"/>
      <c r="F110" s="75"/>
      <c r="G110" s="75"/>
      <c r="H110" s="127"/>
      <c r="I110" s="128"/>
    </row>
    <row r="111" spans="1:9" ht="30" x14ac:dyDescent="0.25">
      <c r="A111" s="129" t="s">
        <v>172</v>
      </c>
      <c r="B111" s="130">
        <f>C68</f>
        <v>0.99</v>
      </c>
      <c r="C111" s="131">
        <f>C69</f>
        <v>0.95</v>
      </c>
      <c r="D111" s="131">
        <f>C70</f>
        <v>0.9</v>
      </c>
      <c r="E111" s="131">
        <f>C71</f>
        <v>0.1</v>
      </c>
      <c r="F111" s="132">
        <f>C72</f>
        <v>0.05</v>
      </c>
      <c r="G111" s="131">
        <f>C73</f>
        <v>0.01</v>
      </c>
      <c r="H111" s="133" t="s">
        <v>125</v>
      </c>
      <c r="I111" s="7" t="str">
        <f>A21</f>
        <v>Exposure estimate (optional)</v>
      </c>
    </row>
    <row r="112" spans="1:9" ht="30" customHeight="1" x14ac:dyDescent="0.25">
      <c r="A112" s="121">
        <f>$C$66</f>
        <v>1E-4</v>
      </c>
      <c r="B112" s="122">
        <f t="shared" ref="B112:G121" si="9">$D89/($E89^(NORMSINV(B$111)/NORMSINV(0.95)))</f>
        <v>2.4702164941151284E-2</v>
      </c>
      <c r="C112" s="122">
        <f t="shared" si="9"/>
        <v>8.6330964549928502E-2</v>
      </c>
      <c r="D112" s="122">
        <f t="shared" si="9"/>
        <v>0.16821625322275885</v>
      </c>
      <c r="E112" s="122">
        <f t="shared" si="9"/>
        <v>18.608729299535817</v>
      </c>
      <c r="F112" s="122">
        <f t="shared" si="9"/>
        <v>36.259188534771077</v>
      </c>
      <c r="G112" s="122">
        <f t="shared" si="9"/>
        <v>126.72131076210829</v>
      </c>
      <c r="H112" s="126">
        <f t="shared" ref="H112:H131" si="10">$B$20</f>
        <v>1</v>
      </c>
      <c r="I112" s="134">
        <f t="shared" ref="I112:I131" si="11">IF($B$21="","",$B$21)</f>
        <v>1</v>
      </c>
    </row>
    <row r="113" spans="1:9" x14ac:dyDescent="0.25">
      <c r="A113" s="121">
        <f t="shared" ref="A113:A131" si="12">A112*($C$67/$C$66)^(1/19)</f>
        <v>1.5656065579430965E-4</v>
      </c>
      <c r="B113" s="122">
        <f t="shared" si="9"/>
        <v>2.9894821190446421E-2</v>
      </c>
      <c r="C113" s="122">
        <f t="shared" si="9"/>
        <v>0.10209683948400694</v>
      </c>
      <c r="D113" s="122">
        <f t="shared" si="9"/>
        <v>0.19650543844098492</v>
      </c>
      <c r="E113" s="122">
        <f t="shared" si="9"/>
        <v>19.932234124045902</v>
      </c>
      <c r="F113" s="122">
        <f t="shared" si="9"/>
        <v>38.363502978635864</v>
      </c>
      <c r="G113" s="122">
        <f t="shared" si="9"/>
        <v>131.01909460176677</v>
      </c>
      <c r="H113" s="126">
        <f t="shared" si="10"/>
        <v>1</v>
      </c>
      <c r="I113" s="134">
        <f t="shared" si="11"/>
        <v>1</v>
      </c>
    </row>
    <row r="114" spans="1:9" x14ac:dyDescent="0.25">
      <c r="A114" s="121">
        <f t="shared" si="12"/>
        <v>2.45112389427443E-4</v>
      </c>
      <c r="B114" s="122">
        <f t="shared" si="9"/>
        <v>3.6340720368338617E-2</v>
      </c>
      <c r="C114" s="122">
        <f t="shared" si="9"/>
        <v>0.12123867683708589</v>
      </c>
      <c r="D114" s="122">
        <f t="shared" si="9"/>
        <v>0.23045311205280905</v>
      </c>
      <c r="E114" s="122">
        <f t="shared" si="9"/>
        <v>21.405211365379127</v>
      </c>
      <c r="F114" s="122">
        <f t="shared" si="9"/>
        <v>40.687491005270147</v>
      </c>
      <c r="G114" s="122">
        <f t="shared" si="9"/>
        <v>135.74022538082377</v>
      </c>
      <c r="H114" s="126">
        <f t="shared" si="10"/>
        <v>1</v>
      </c>
      <c r="I114" s="134">
        <f t="shared" si="11"/>
        <v>1</v>
      </c>
    </row>
    <row r="115" spans="1:9" x14ac:dyDescent="0.25">
      <c r="A115" s="121">
        <f t="shared" si="12"/>
        <v>3.8374956432070688E-4</v>
      </c>
      <c r="B115" s="122">
        <f t="shared" si="9"/>
        <v>4.4388397488085596E-2</v>
      </c>
      <c r="C115" s="122">
        <f t="shared" si="9"/>
        <v>0.14460736006255295</v>
      </c>
      <c r="D115" s="122">
        <f t="shared" si="9"/>
        <v>0.27141050200406641</v>
      </c>
      <c r="E115" s="122">
        <f t="shared" si="9"/>
        <v>23.052855638210762</v>
      </c>
      <c r="F115" s="122">
        <f t="shared" si="9"/>
        <v>43.267418191491515</v>
      </c>
      <c r="G115" s="122">
        <f t="shared" si="9"/>
        <v>140.95546303678691</v>
      </c>
      <c r="H115" s="126">
        <f t="shared" si="10"/>
        <v>1</v>
      </c>
      <c r="I115" s="134">
        <f t="shared" si="11"/>
        <v>1</v>
      </c>
    </row>
    <row r="116" spans="1:9" x14ac:dyDescent="0.25">
      <c r="A116" s="121">
        <f t="shared" si="12"/>
        <v>6.0080083450830477E-4</v>
      </c>
      <c r="B116" s="122">
        <f t="shared" si="9"/>
        <v>5.449842409189222E-2</v>
      </c>
      <c r="C116" s="122">
        <f t="shared" si="9"/>
        <v>0.17330689011248129</v>
      </c>
      <c r="D116" s="122">
        <f t="shared" si="9"/>
        <v>0.32111486324590172</v>
      </c>
      <c r="E116" s="122">
        <f t="shared" si="9"/>
        <v>24.906295515411124</v>
      </c>
      <c r="F116" s="122">
        <f t="shared" si="9"/>
        <v>46.148088360494363</v>
      </c>
      <c r="G116" s="122">
        <f t="shared" si="9"/>
        <v>146.75253113572316</v>
      </c>
      <c r="H116" s="126">
        <f t="shared" si="10"/>
        <v>1</v>
      </c>
      <c r="I116" s="134">
        <f t="shared" si="11"/>
        <v>1</v>
      </c>
    </row>
    <row r="117" spans="1:9" x14ac:dyDescent="0.25">
      <c r="A117" s="121">
        <f t="shared" si="12"/>
        <v>9.4061772652388699E-4</v>
      </c>
      <c r="B117" s="122">
        <f t="shared" si="9"/>
        <v>6.7285150895231946E-2</v>
      </c>
      <c r="C117" s="122">
        <f t="shared" si="9"/>
        <v>0.20878343043429623</v>
      </c>
      <c r="D117" s="122">
        <f t="shared" si="9"/>
        <v>0.38182153608568897</v>
      </c>
      <c r="E117" s="122">
        <f t="shared" si="9"/>
        <v>27.004448794958098</v>
      </c>
      <c r="F117" s="122">
        <f t="shared" si="9"/>
        <v>49.3855288161053</v>
      </c>
      <c r="G117" s="122">
        <f t="shared" si="9"/>
        <v>153.24153966887957</v>
      </c>
      <c r="H117" s="126">
        <f t="shared" si="10"/>
        <v>1</v>
      </c>
      <c r="I117" s="134">
        <f t="shared" si="11"/>
        <v>1</v>
      </c>
    </row>
    <row r="118" spans="1:9" x14ac:dyDescent="0.25">
      <c r="A118" s="121">
        <f t="shared" si="12"/>
        <v>1.4726372811633235E-3</v>
      </c>
      <c r="B118" s="122">
        <f t="shared" si="9"/>
        <v>8.3576527543825968E-2</v>
      </c>
      <c r="C118" s="122">
        <f t="shared" si="9"/>
        <v>0.25295145847057504</v>
      </c>
      <c r="D118" s="122">
        <f t="shared" si="9"/>
        <v>0.45649011791283539</v>
      </c>
      <c r="E118" s="122">
        <f t="shared" si="9"/>
        <v>29.396620852846372</v>
      </c>
      <c r="F118" s="122">
        <f t="shared" si="9"/>
        <v>53.050759226659281</v>
      </c>
      <c r="G118" s="122">
        <f t="shared" si="9"/>
        <v>160.56262821302241</v>
      </c>
      <c r="H118" s="126">
        <f t="shared" si="10"/>
        <v>1</v>
      </c>
      <c r="I118" s="134">
        <f t="shared" si="11"/>
        <v>1</v>
      </c>
    </row>
    <row r="119" spans="1:9" x14ac:dyDescent="0.25">
      <c r="A119" s="121">
        <f t="shared" si="12"/>
        <v>2.3055705848607907E-3</v>
      </c>
      <c r="B119" s="122">
        <f t="shared" si="9"/>
        <v>0.10450112839851311</v>
      </c>
      <c r="C119" s="122">
        <f t="shared" si="9"/>
        <v>0.30837537315196201</v>
      </c>
      <c r="D119" s="122">
        <f t="shared" si="9"/>
        <v>0.54905131534402118</v>
      </c>
      <c r="E119" s="122">
        <f t="shared" si="9"/>
        <v>32.146218385830736</v>
      </c>
      <c r="F119" s="122">
        <f t="shared" si="9"/>
        <v>57.23519134382687</v>
      </c>
      <c r="G119" s="122">
        <f t="shared" si="9"/>
        <v>168.89696559800643</v>
      </c>
      <c r="H119" s="126">
        <f t="shared" si="10"/>
        <v>1</v>
      </c>
      <c r="I119" s="134">
        <f t="shared" si="11"/>
        <v>1</v>
      </c>
    </row>
    <row r="120" spans="1:9" x14ac:dyDescent="0.25">
      <c r="A120" s="121">
        <f t="shared" si="12"/>
        <v>3.6096164274587541E-3</v>
      </c>
      <c r="B120" s="122">
        <f t="shared" si="9"/>
        <v>0.13161691124334984</v>
      </c>
      <c r="C120" s="122">
        <f t="shared" si="9"/>
        <v>0.37853570103625861</v>
      </c>
      <c r="D120" s="122">
        <f t="shared" si="9"/>
        <v>0.66479668153897187</v>
      </c>
      <c r="E120" s="122">
        <f t="shared" si="9"/>
        <v>35.336180575502929</v>
      </c>
      <c r="F120" s="122">
        <f t="shared" si="9"/>
        <v>62.058546976011939</v>
      </c>
      <c r="G120" s="122">
        <f t="shared" si="9"/>
        <v>178.48295756935389</v>
      </c>
      <c r="H120" s="126">
        <f t="shared" si="10"/>
        <v>1</v>
      </c>
      <c r="I120" s="134">
        <f t="shared" si="11"/>
        <v>1</v>
      </c>
    </row>
    <row r="121" spans="1:9" x14ac:dyDescent="0.25">
      <c r="A121" s="121">
        <f t="shared" si="12"/>
        <v>5.6512391504885571E-3</v>
      </c>
      <c r="B121" s="122">
        <f t="shared" si="9"/>
        <v>0.16710539108467573</v>
      </c>
      <c r="C121" s="122">
        <f t="shared" si="9"/>
        <v>0.4682274124019844</v>
      </c>
      <c r="D121" s="122">
        <f t="shared" si="9"/>
        <v>0.81096013266715039</v>
      </c>
      <c r="E121" s="122">
        <f t="shared" si="9"/>
        <v>39.077132332129175</v>
      </c>
      <c r="F121" s="122">
        <f t="shared" si="9"/>
        <v>67.680779853847397</v>
      </c>
      <c r="G121" s="122">
        <f t="shared" si="9"/>
        <v>189.64077828139784</v>
      </c>
      <c r="H121" s="126">
        <f t="shared" si="10"/>
        <v>1</v>
      </c>
      <c r="I121" s="134">
        <f t="shared" si="11"/>
        <v>1</v>
      </c>
    </row>
    <row r="122" spans="1:9" x14ac:dyDescent="0.25">
      <c r="A122" s="121">
        <f t="shared" si="12"/>
        <v>8.8476170745096592E-3</v>
      </c>
      <c r="B122" s="122">
        <f t="shared" ref="B122:G131" si="13">$D99/($E99^(NORMSINV(B$111)/NORMSINV(0.95)))</f>
        <v>0.21407092339134093</v>
      </c>
      <c r="C122" s="122">
        <f t="shared" si="13"/>
        <v>0.58417017452409525</v>
      </c>
      <c r="D122" s="122">
        <f t="shared" si="13"/>
        <v>0.99760727933874083</v>
      </c>
      <c r="E122" s="122">
        <f t="shared" si="13"/>
        <v>43.519997722127819</v>
      </c>
      <c r="F122" s="122">
        <f t="shared" si="13"/>
        <v>74.320580573579818</v>
      </c>
      <c r="G122" s="122">
        <f t="shared" si="13"/>
        <v>202.81066590735452</v>
      </c>
      <c r="H122" s="126">
        <f t="shared" si="10"/>
        <v>1</v>
      </c>
      <c r="I122" s="134">
        <f t="shared" si="11"/>
        <v>1</v>
      </c>
    </row>
    <row r="123" spans="1:9" x14ac:dyDescent="0.25">
      <c r="A123" s="121">
        <f t="shared" si="12"/>
        <v>1.3851887314021637E-2</v>
      </c>
      <c r="B123" s="122">
        <f t="shared" si="13"/>
        <v>0.27701381619974891</v>
      </c>
      <c r="C123" s="122">
        <f t="shared" si="13"/>
        <v>0.73596946224275639</v>
      </c>
      <c r="D123" s="122">
        <f t="shared" si="13"/>
        <v>1.2390352673672349</v>
      </c>
      <c r="E123" s="122">
        <f t="shared" si="13"/>
        <v>48.876208702520685</v>
      </c>
      <c r="F123" s="122">
        <f t="shared" si="13"/>
        <v>82.285134675396847</v>
      </c>
      <c r="G123" s="122">
        <f t="shared" si="13"/>
        <v>218.61489491179893</v>
      </c>
      <c r="H123" s="126">
        <f t="shared" si="10"/>
        <v>1</v>
      </c>
      <c r="I123" s="134">
        <f t="shared" si="11"/>
        <v>1</v>
      </c>
    </row>
    <row r="124" spans="1:9" x14ac:dyDescent="0.25">
      <c r="A124" s="121">
        <f t="shared" si="12"/>
        <v>2.1686605618721058E-2</v>
      </c>
      <c r="B124" s="122">
        <f t="shared" si="13"/>
        <v>0.36260087987349904</v>
      </c>
      <c r="C124" s="122">
        <f t="shared" si="13"/>
        <v>0.93768054623728725</v>
      </c>
      <c r="D124" s="122">
        <f t="shared" si="13"/>
        <v>1.5560527935789175</v>
      </c>
      <c r="E124" s="122">
        <f t="shared" si="13"/>
        <v>55.451447695955224</v>
      </c>
      <c r="F124" s="122">
        <f t="shared" si="13"/>
        <v>92.020017309233239</v>
      </c>
      <c r="G124" s="122">
        <f t="shared" si="13"/>
        <v>237.96241235098165</v>
      </c>
      <c r="H124" s="126">
        <f t="shared" si="10"/>
        <v>1</v>
      </c>
      <c r="I124" s="134">
        <f t="shared" si="11"/>
        <v>1</v>
      </c>
    </row>
    <row r="125" spans="1:9" x14ac:dyDescent="0.25">
      <c r="A125" s="121">
        <f t="shared" si="12"/>
        <v>3.3952691976195291E-2</v>
      </c>
      <c r="B125" s="122">
        <f t="shared" si="13"/>
        <v>0.48096625830287465</v>
      </c>
      <c r="C125" s="122">
        <f t="shared" si="13"/>
        <v>1.210456025228684</v>
      </c>
      <c r="D125" s="122">
        <f t="shared" si="13"/>
        <v>1.9798503080479244</v>
      </c>
      <c r="E125" s="122">
        <f t="shared" si="13"/>
        <v>63.704847536882234</v>
      </c>
      <c r="F125" s="122">
        <f t="shared" si="13"/>
        <v>104.19714503566067</v>
      </c>
      <c r="G125" s="122">
        <f t="shared" si="13"/>
        <v>262.23474067617042</v>
      </c>
      <c r="H125" s="126">
        <f t="shared" si="10"/>
        <v>1</v>
      </c>
      <c r="I125" s="134">
        <f t="shared" si="11"/>
        <v>1</v>
      </c>
    </row>
    <row r="126" spans="1:9" x14ac:dyDescent="0.25">
      <c r="A126" s="121">
        <f t="shared" si="12"/>
        <v>5.3156557217753302E-2</v>
      </c>
      <c r="B126" s="122">
        <f t="shared" si="13"/>
        <v>0.64800686277215402</v>
      </c>
      <c r="C126" s="122">
        <f t="shared" si="13"/>
        <v>1.5872518185553377</v>
      </c>
      <c r="D126" s="122">
        <f t="shared" si="13"/>
        <v>2.5589134665506408</v>
      </c>
      <c r="E126" s="122">
        <f t="shared" si="13"/>
        <v>74.359343856448859</v>
      </c>
      <c r="F126" s="122">
        <f t="shared" si="13"/>
        <v>119.87960834804554</v>
      </c>
      <c r="G126" s="122">
        <f t="shared" si="13"/>
        <v>293.63751726969093</v>
      </c>
      <c r="H126" s="126">
        <f t="shared" si="10"/>
        <v>1</v>
      </c>
      <c r="I126" s="134">
        <f t="shared" si="11"/>
        <v>1</v>
      </c>
    </row>
    <row r="127" spans="1:9" x14ac:dyDescent="0.25">
      <c r="A127" s="121">
        <f t="shared" si="12"/>
        <v>8.3222254577792004E-2</v>
      </c>
      <c r="B127" s="122">
        <f t="shared" si="13"/>
        <v>0.88966773471611815</v>
      </c>
      <c r="C127" s="122">
        <f t="shared" si="13"/>
        <v>2.1217284570064132</v>
      </c>
      <c r="D127" s="122">
        <f t="shared" si="13"/>
        <v>3.372200402219709</v>
      </c>
      <c r="E127" s="122">
        <f t="shared" si="13"/>
        <v>88.623647505534834</v>
      </c>
      <c r="F127" s="122">
        <f t="shared" si="13"/>
        <v>140.85530067594286</v>
      </c>
      <c r="G127" s="122">
        <f t="shared" si="13"/>
        <v>335.91945408664702</v>
      </c>
      <c r="H127" s="126">
        <f t="shared" si="10"/>
        <v>1</v>
      </c>
      <c r="I127" s="134">
        <f t="shared" si="11"/>
        <v>1</v>
      </c>
    </row>
    <row r="128" spans="1:9" x14ac:dyDescent="0.25">
      <c r="A128" s="121">
        <f t="shared" si="12"/>
        <v>0.13029330753380103</v>
      </c>
      <c r="B128" s="122">
        <f t="shared" si="13"/>
        <v>1.2505634808921491</v>
      </c>
      <c r="C128" s="122">
        <f t="shared" si="13"/>
        <v>2.9065289033222488</v>
      </c>
      <c r="D128" s="122">
        <f t="shared" si="13"/>
        <v>4.5564986234199898</v>
      </c>
      <c r="E128" s="122">
        <f t="shared" si="13"/>
        <v>108.68518452379998</v>
      </c>
      <c r="F128" s="122">
        <f t="shared" si="13"/>
        <v>170.38326820104464</v>
      </c>
      <c r="G128" s="122">
        <f t="shared" si="13"/>
        <v>396.00060391620468</v>
      </c>
      <c r="H128" s="126">
        <f t="shared" si="10"/>
        <v>1</v>
      </c>
      <c r="I128" s="134">
        <f t="shared" si="11"/>
        <v>1</v>
      </c>
    </row>
    <row r="129" spans="1:9" x14ac:dyDescent="0.25">
      <c r="A129" s="121">
        <f t="shared" si="12"/>
        <v>0.20398805673101555</v>
      </c>
      <c r="B129" s="122">
        <f t="shared" si="13"/>
        <v>1.8132370270545974</v>
      </c>
      <c r="C129" s="122">
        <f t="shared" si="13"/>
        <v>4.1153458825833829</v>
      </c>
      <c r="D129" s="122">
        <f t="shared" si="13"/>
        <v>6.3703443691271788</v>
      </c>
      <c r="E129" s="122">
        <f t="shared" si="13"/>
        <v>138.96300555823302</v>
      </c>
      <c r="F129" s="122">
        <f t="shared" si="13"/>
        <v>215.10760583243481</v>
      </c>
      <c r="G129" s="122">
        <f t="shared" si="13"/>
        <v>488.21096567438644</v>
      </c>
      <c r="H129" s="126">
        <f t="shared" si="10"/>
        <v>1</v>
      </c>
      <c r="I129" s="134">
        <f t="shared" si="11"/>
        <v>1</v>
      </c>
    </row>
    <row r="130" spans="1:9" x14ac:dyDescent="0.25">
      <c r="A130" s="121">
        <f t="shared" si="12"/>
        <v>0.31936503936014637</v>
      </c>
      <c r="B130" s="122">
        <f t="shared" si="13"/>
        <v>2.7485476536061211</v>
      </c>
      <c r="C130" s="122">
        <f t="shared" si="13"/>
        <v>6.117719691732316</v>
      </c>
      <c r="D130" s="122">
        <f t="shared" si="13"/>
        <v>9.3720206429504938</v>
      </c>
      <c r="E130" s="122">
        <f t="shared" si="13"/>
        <v>189.99006380690389</v>
      </c>
      <c r="F130" s="122">
        <f t="shared" si="13"/>
        <v>291.05465593007392</v>
      </c>
      <c r="G130" s="122">
        <f t="shared" si="13"/>
        <v>647.8296993023323</v>
      </c>
      <c r="H130" s="126">
        <f t="shared" si="10"/>
        <v>1</v>
      </c>
      <c r="I130" s="134">
        <f t="shared" si="11"/>
        <v>1</v>
      </c>
    </row>
    <row r="131" spans="1:9" ht="15.75" thickBot="1" x14ac:dyDescent="0.3">
      <c r="A131" s="135">
        <f t="shared" si="12"/>
        <v>0.50000000000000033</v>
      </c>
      <c r="B131" s="136">
        <f t="shared" si="13"/>
        <v>4.4883101508740504</v>
      </c>
      <c r="C131" s="136">
        <f t="shared" si="13"/>
        <v>9.8964027128814767</v>
      </c>
      <c r="D131" s="136">
        <f t="shared" si="13"/>
        <v>15.084804874584828</v>
      </c>
      <c r="E131" s="136">
        <f t="shared" si="13"/>
        <v>295.15358128414198</v>
      </c>
      <c r="F131" s="136">
        <f t="shared" si="13"/>
        <v>449.89420003198717</v>
      </c>
      <c r="G131" s="136">
        <f t="shared" si="13"/>
        <v>991.98451801267549</v>
      </c>
      <c r="H131" s="137">
        <f t="shared" si="10"/>
        <v>1</v>
      </c>
      <c r="I131" s="138">
        <f t="shared" si="11"/>
        <v>1</v>
      </c>
    </row>
  </sheetData>
  <sheetProtection algorithmName="SHA-512" hashValue="v8fYc12RLCH5JPDjch0iuHfWEhxytAHz/7/Df66VoJaOjvqRc1TbI/zsHabcMKKqLt3xlCwfSULAndCS0PWQJw==" saltValue="lRHxJsAB2A0R0Fq9Nc9uzg==" spinCount="100000" sheet="1" objects="1" scenarios="1" formatCells="0" formatColumns="0" formatRows="0"/>
  <mergeCells count="53">
    <mergeCell ref="B19:C19"/>
    <mergeCell ref="B20:C20"/>
    <mergeCell ref="B21:C21"/>
    <mergeCell ref="B4:C4"/>
    <mergeCell ref="B15:C15"/>
    <mergeCell ref="B16:C16"/>
    <mergeCell ref="B17:C17"/>
    <mergeCell ref="B18:C18"/>
    <mergeCell ref="B11:C11"/>
    <mergeCell ref="B12:C12"/>
    <mergeCell ref="B13:C13"/>
    <mergeCell ref="B14:C14"/>
    <mergeCell ref="B7:C7"/>
    <mergeCell ref="B8:C8"/>
    <mergeCell ref="B9:C9"/>
    <mergeCell ref="B10:C10"/>
    <mergeCell ref="A87:D87"/>
    <mergeCell ref="F62:J62"/>
    <mergeCell ref="F63:J63"/>
    <mergeCell ref="F58:J58"/>
    <mergeCell ref="F59:J59"/>
    <mergeCell ref="F60:J60"/>
    <mergeCell ref="F61:J61"/>
    <mergeCell ref="B58:D58"/>
    <mergeCell ref="A64:D64"/>
    <mergeCell ref="B57:D57"/>
    <mergeCell ref="F54:J54"/>
    <mergeCell ref="F55:J55"/>
    <mergeCell ref="A56:B56"/>
    <mergeCell ref="F56:J56"/>
    <mergeCell ref="F57:J57"/>
    <mergeCell ref="A55:B55"/>
    <mergeCell ref="F49:J49"/>
    <mergeCell ref="F53:J53"/>
    <mergeCell ref="G16:I20"/>
    <mergeCell ref="F51:J51"/>
    <mergeCell ref="F52:J52"/>
    <mergeCell ref="A51:D51"/>
    <mergeCell ref="G7:I9"/>
    <mergeCell ref="B1:E1"/>
    <mergeCell ref="G3:I3"/>
    <mergeCell ref="G4:I6"/>
    <mergeCell ref="B5:C5"/>
    <mergeCell ref="B6:C6"/>
    <mergeCell ref="A3:D3"/>
    <mergeCell ref="A23:D23"/>
    <mergeCell ref="F23:I23"/>
    <mergeCell ref="A44:D44"/>
    <mergeCell ref="A48:B48"/>
    <mergeCell ref="A49:D49"/>
    <mergeCell ref="G10:I13"/>
    <mergeCell ref="F50:J50"/>
    <mergeCell ref="F48:J48"/>
  </mergeCells>
  <phoneticPr fontId="10" type="noConversion"/>
  <dataValidations count="5">
    <dataValidation type="list" allowBlank="1" showInputMessage="1" showErrorMessage="1" prompt="POD Type" sqref="B15">
      <formula1>PODtype</formula1>
    </dataValidation>
    <dataValidation type="list" allowBlank="1" showInputMessage="1" showErrorMessage="1" prompt="Data Type" sqref="B6">
      <formula1>DataType</formula1>
    </dataValidation>
    <dataValidation type="list" allowBlank="1" showInputMessage="1" showErrorMessage="1" prompt="Data Route" sqref="B7">
      <formula1>DataRoute</formula1>
    </dataValidation>
    <dataValidation type="list" allowBlank="1" showInputMessage="1" showErrorMessage="1" prompt="Data Duration" sqref="B8">
      <formula1>DataDuration</formula1>
    </dataValidation>
    <dataValidation type="list" allowBlank="1" showInputMessage="1" showErrorMessage="1" prompt="Data Species" sqref="B9">
      <formula1>DataSpecies</formula1>
    </dataValidation>
  </dataValidations>
  <pageMargins left="0.7" right="0.7" top="0.75" bottom="0.75" header="0.3" footer="0.3"/>
  <pageSetup scale="49" fitToHeight="2" orientation="landscape" r:id="rId1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55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34.140625" customWidth="1"/>
    <col min="2" max="2" width="66.140625" customWidth="1"/>
    <col min="3" max="3" width="22.5703125" customWidth="1"/>
    <col min="4" max="4" width="13.140625" customWidth="1"/>
    <col min="6" max="6" width="18.85546875" customWidth="1"/>
    <col min="7" max="7" width="15.85546875" customWidth="1"/>
    <col min="8" max="8" width="17.42578125" customWidth="1"/>
  </cols>
  <sheetData>
    <row r="1" spans="1:3" x14ac:dyDescent="0.25">
      <c r="A1" s="1" t="s">
        <v>51</v>
      </c>
      <c r="B1" s="1" t="s">
        <v>52</v>
      </c>
      <c r="C1" t="s">
        <v>82</v>
      </c>
    </row>
    <row r="2" spans="1:3" x14ac:dyDescent="0.25">
      <c r="A2" s="2" t="s">
        <v>31</v>
      </c>
      <c r="B2" s="231" t="s">
        <v>54</v>
      </c>
    </row>
    <row r="3" spans="1:3" x14ac:dyDescent="0.25">
      <c r="A3" s="2">
        <v>60</v>
      </c>
      <c r="B3" s="231"/>
    </row>
    <row r="4" spans="1:3" x14ac:dyDescent="0.25">
      <c r="A4" s="2" t="s">
        <v>26</v>
      </c>
      <c r="B4" s="231" t="s">
        <v>55</v>
      </c>
    </row>
    <row r="5" spans="1:3" x14ac:dyDescent="0.25">
      <c r="A5" s="2">
        <v>0.4</v>
      </c>
      <c r="B5" s="231"/>
    </row>
    <row r="6" spans="1:3" x14ac:dyDescent="0.25">
      <c r="A6" t="s">
        <v>27</v>
      </c>
      <c r="B6" s="231" t="s">
        <v>56</v>
      </c>
    </row>
    <row r="7" spans="1:3" x14ac:dyDescent="0.25">
      <c r="A7" s="2">
        <v>0.02</v>
      </c>
      <c r="B7" s="231"/>
    </row>
    <row r="8" spans="1:3" x14ac:dyDescent="0.25">
      <c r="A8" s="2" t="s">
        <v>189</v>
      </c>
      <c r="B8" s="231" t="s">
        <v>191</v>
      </c>
    </row>
    <row r="9" spans="1:3" x14ac:dyDescent="0.25">
      <c r="A9" s="2">
        <v>10</v>
      </c>
      <c r="B9" s="231"/>
    </row>
    <row r="10" spans="1:3" x14ac:dyDescent="0.25">
      <c r="A10" s="2" t="s">
        <v>190</v>
      </c>
      <c r="B10" s="231" t="s">
        <v>192</v>
      </c>
    </row>
    <row r="11" spans="1:3" x14ac:dyDescent="0.25">
      <c r="A11" s="2">
        <v>2</v>
      </c>
      <c r="B11" s="231"/>
    </row>
    <row r="12" spans="1:3" x14ac:dyDescent="0.25">
      <c r="A12" s="2" t="s">
        <v>28</v>
      </c>
      <c r="B12" s="231" t="s">
        <v>173</v>
      </c>
    </row>
    <row r="13" spans="1:3" x14ac:dyDescent="0.25">
      <c r="A13" s="2">
        <v>0.05</v>
      </c>
      <c r="B13" s="231"/>
    </row>
    <row r="14" spans="1:3" x14ac:dyDescent="0.25">
      <c r="A14" s="2" t="s">
        <v>29</v>
      </c>
      <c r="B14" s="231" t="s">
        <v>174</v>
      </c>
    </row>
    <row r="15" spans="1:3" x14ac:dyDescent="0.25">
      <c r="A15" s="2">
        <v>0.5</v>
      </c>
      <c r="B15" s="231"/>
    </row>
    <row r="16" spans="1:3" ht="15" customHeight="1" x14ac:dyDescent="0.25">
      <c r="A16" s="2" t="s">
        <v>30</v>
      </c>
      <c r="B16" s="231" t="s">
        <v>175</v>
      </c>
    </row>
    <row r="17" spans="1:3" x14ac:dyDescent="0.25">
      <c r="A17" s="2">
        <v>0.1</v>
      </c>
      <c r="B17" s="231"/>
    </row>
    <row r="18" spans="1:3" x14ac:dyDescent="0.25">
      <c r="A18" s="2" t="s">
        <v>38</v>
      </c>
      <c r="B18" s="231" t="s">
        <v>53</v>
      </c>
    </row>
    <row r="19" spans="1:3" x14ac:dyDescent="0.25">
      <c r="A19" s="2">
        <v>3</v>
      </c>
      <c r="B19" s="231"/>
    </row>
    <row r="20" spans="1:3" ht="15" customHeight="1" x14ac:dyDescent="0.25">
      <c r="A20" t="s">
        <v>87</v>
      </c>
      <c r="B20" s="231" t="s">
        <v>176</v>
      </c>
      <c r="C20" t="s">
        <v>132</v>
      </c>
    </row>
    <row r="21" spans="1:3" x14ac:dyDescent="0.25">
      <c r="A21" s="4">
        <f>2/9</f>
        <v>0.22222222222222221</v>
      </c>
      <c r="B21" s="231"/>
    </row>
    <row r="22" spans="1:3" ht="15" customHeight="1" x14ac:dyDescent="0.25">
      <c r="A22" t="s">
        <v>88</v>
      </c>
      <c r="B22" s="231" t="s">
        <v>177</v>
      </c>
      <c r="C22" t="s">
        <v>132</v>
      </c>
    </row>
    <row r="23" spans="1:3" x14ac:dyDescent="0.25">
      <c r="A23" s="4">
        <f>5^(1/NORMSINV(0.95))</f>
        <v>2.6603794803447594</v>
      </c>
      <c r="B23" s="231"/>
    </row>
    <row r="24" spans="1:3" x14ac:dyDescent="0.25">
      <c r="A24" t="s">
        <v>85</v>
      </c>
      <c r="B24" s="231" t="s">
        <v>178</v>
      </c>
      <c r="C24" t="s">
        <v>132</v>
      </c>
    </row>
    <row r="25" spans="1:3" x14ac:dyDescent="0.25">
      <c r="A25">
        <f>2/3</f>
        <v>0.66666666666666663</v>
      </c>
      <c r="B25" s="231"/>
    </row>
    <row r="26" spans="1:3" ht="15" customHeight="1" x14ac:dyDescent="0.25">
      <c r="A26" t="s">
        <v>86</v>
      </c>
      <c r="B26" s="231" t="s">
        <v>179</v>
      </c>
      <c r="C26" t="s">
        <v>132</v>
      </c>
    </row>
    <row r="27" spans="1:3" x14ac:dyDescent="0.25">
      <c r="A27" s="3">
        <f>4.7^(1/NORMSINV(0.95))</f>
        <v>2.5621614021421317</v>
      </c>
      <c r="B27" s="231"/>
    </row>
    <row r="28" spans="1:3" x14ac:dyDescent="0.25">
      <c r="A28" t="s">
        <v>67</v>
      </c>
      <c r="B28" s="231" t="s">
        <v>180</v>
      </c>
      <c r="C28" t="s">
        <v>132</v>
      </c>
    </row>
    <row r="29" spans="1:3" x14ac:dyDescent="0.25">
      <c r="A29" s="3">
        <f>1/3</f>
        <v>0.33333333333333331</v>
      </c>
      <c r="B29" s="231"/>
    </row>
    <row r="30" spans="1:3" ht="15" customHeight="1" x14ac:dyDescent="0.25">
      <c r="A30" t="s">
        <v>68</v>
      </c>
      <c r="B30" s="231" t="s">
        <v>181</v>
      </c>
      <c r="C30" t="s">
        <v>132</v>
      </c>
    </row>
    <row r="31" spans="1:3" x14ac:dyDescent="0.25">
      <c r="A31" s="3">
        <f>4.7^(1/NORMSINV(0.95))</f>
        <v>2.5621614021421317</v>
      </c>
      <c r="B31" s="231"/>
    </row>
    <row r="32" spans="1:3" x14ac:dyDescent="0.25">
      <c r="A32" t="s">
        <v>66</v>
      </c>
      <c r="B32" s="231" t="s">
        <v>182</v>
      </c>
      <c r="C32" t="s">
        <v>132</v>
      </c>
    </row>
    <row r="33" spans="1:3" x14ac:dyDescent="0.25">
      <c r="A33">
        <f>1/3</f>
        <v>0.33333333333333331</v>
      </c>
      <c r="B33" s="231"/>
    </row>
    <row r="34" spans="1:3" ht="15" customHeight="1" x14ac:dyDescent="0.25">
      <c r="A34" t="s">
        <v>105</v>
      </c>
      <c r="B34" s="231" t="s">
        <v>183</v>
      </c>
      <c r="C34" t="s">
        <v>132</v>
      </c>
    </row>
    <row r="35" spans="1:3" x14ac:dyDescent="0.25">
      <c r="A35" s="4">
        <f>7^(1/NORMSINV(0.95))</f>
        <v>3.2642478524461147</v>
      </c>
      <c r="B35" s="231"/>
    </row>
    <row r="36" spans="1:3" x14ac:dyDescent="0.25">
      <c r="A36" s="2" t="s">
        <v>32</v>
      </c>
      <c r="B36" s="231" t="s">
        <v>57</v>
      </c>
      <c r="C36" t="s">
        <v>132</v>
      </c>
    </row>
    <row r="37" spans="1:3" x14ac:dyDescent="0.25">
      <c r="A37" s="2">
        <v>0.7</v>
      </c>
      <c r="B37" s="231"/>
    </row>
    <row r="38" spans="1:3" x14ac:dyDescent="0.25">
      <c r="A38" s="2" t="s">
        <v>33</v>
      </c>
      <c r="B38" s="231" t="s">
        <v>152</v>
      </c>
      <c r="C38" t="s">
        <v>132</v>
      </c>
    </row>
    <row r="39" spans="1:3" x14ac:dyDescent="0.25">
      <c r="A39" s="5">
        <f>0.04/NORMSINV(0.95)</f>
        <v>2.4318273276470775E-2</v>
      </c>
      <c r="B39" s="231"/>
    </row>
    <row r="40" spans="1:3" x14ac:dyDescent="0.25">
      <c r="A40" s="2" t="s">
        <v>39</v>
      </c>
      <c r="B40" s="231" t="s">
        <v>58</v>
      </c>
      <c r="C40" t="s">
        <v>132</v>
      </c>
    </row>
    <row r="41" spans="1:3" x14ac:dyDescent="0.25">
      <c r="A41" s="2">
        <v>1</v>
      </c>
      <c r="B41" s="231"/>
    </row>
    <row r="42" spans="1:3" x14ac:dyDescent="0.25">
      <c r="A42" s="2" t="s">
        <v>34</v>
      </c>
      <c r="B42" s="231" t="s">
        <v>59</v>
      </c>
      <c r="C42" t="s">
        <v>132</v>
      </c>
    </row>
    <row r="43" spans="1:3" x14ac:dyDescent="0.25">
      <c r="A43" s="4">
        <f>3^(1/NORMSINV(0.95))</f>
        <v>1.9501549803459444</v>
      </c>
      <c r="B43" s="231"/>
    </row>
    <row r="44" spans="1:3" x14ac:dyDescent="0.25">
      <c r="A44" t="s">
        <v>133</v>
      </c>
      <c r="B44" s="231" t="s">
        <v>153</v>
      </c>
      <c r="C44" t="s">
        <v>132</v>
      </c>
    </row>
    <row r="45" spans="1:3" x14ac:dyDescent="0.25">
      <c r="A45" s="6">
        <f>0.324</f>
        <v>0.32400000000000001</v>
      </c>
      <c r="B45" s="231"/>
    </row>
    <row r="46" spans="1:3" x14ac:dyDescent="0.25">
      <c r="A46" t="s">
        <v>134</v>
      </c>
      <c r="B46" s="231" t="s">
        <v>154</v>
      </c>
      <c r="C46" t="s">
        <v>132</v>
      </c>
    </row>
    <row r="47" spans="1:3" x14ac:dyDescent="0.25">
      <c r="A47" s="4">
        <f>2.152^(1/NORMSINV(0.95))</f>
        <v>1.5935060994863979</v>
      </c>
      <c r="B47" s="231"/>
    </row>
    <row r="48" spans="1:3" x14ac:dyDescent="0.25">
      <c r="A48" t="s">
        <v>75</v>
      </c>
      <c r="B48" s="231" t="s">
        <v>79</v>
      </c>
      <c r="C48" t="s">
        <v>132</v>
      </c>
    </row>
    <row r="49" spans="1:3" x14ac:dyDescent="0.25">
      <c r="A49" s="2">
        <v>2</v>
      </c>
      <c r="B49" s="231"/>
    </row>
    <row r="50" spans="1:3" x14ac:dyDescent="0.25">
      <c r="A50" t="s">
        <v>76</v>
      </c>
      <c r="B50" s="231" t="s">
        <v>80</v>
      </c>
      <c r="C50" t="s">
        <v>132</v>
      </c>
    </row>
    <row r="51" spans="1:3" x14ac:dyDescent="0.25">
      <c r="A51" s="4">
        <f>4^(1/NORMSINV(0.95))</f>
        <v>2.3228784501035764</v>
      </c>
      <c r="B51" s="231"/>
    </row>
    <row r="52" spans="1:3" x14ac:dyDescent="0.25">
      <c r="A52" t="s">
        <v>77</v>
      </c>
      <c r="B52" s="231" t="s">
        <v>155</v>
      </c>
      <c r="C52" t="s">
        <v>132</v>
      </c>
    </row>
    <row r="53" spans="1:3" x14ac:dyDescent="0.25">
      <c r="A53">
        <v>5</v>
      </c>
      <c r="B53" s="231"/>
    </row>
    <row r="54" spans="1:3" x14ac:dyDescent="0.25">
      <c r="A54" t="s">
        <v>78</v>
      </c>
      <c r="B54" s="231" t="s">
        <v>81</v>
      </c>
      <c r="C54" t="s">
        <v>132</v>
      </c>
    </row>
    <row r="55" spans="1:3" x14ac:dyDescent="0.25">
      <c r="A55" s="3">
        <f>8^(1/NORMSINV(0.95))</f>
        <v>3.5402972474451615</v>
      </c>
      <c r="B55" s="231"/>
    </row>
  </sheetData>
  <sheetProtection password="C8B5" sheet="1" objects="1" scenarios="1" formatCells="0" formatColumns="0" formatRows="0"/>
  <mergeCells count="27">
    <mergeCell ref="B54:B55"/>
    <mergeCell ref="B46:B47"/>
    <mergeCell ref="B50:B51"/>
    <mergeCell ref="B52:B53"/>
    <mergeCell ref="B30:B31"/>
    <mergeCell ref="B36:B37"/>
    <mergeCell ref="B38:B39"/>
    <mergeCell ref="B40:B41"/>
    <mergeCell ref="B18:B19"/>
    <mergeCell ref="B20:B21"/>
    <mergeCell ref="B42:B43"/>
    <mergeCell ref="B48:B49"/>
    <mergeCell ref="B32:B33"/>
    <mergeCell ref="B34:B35"/>
    <mergeCell ref="B44:B45"/>
    <mergeCell ref="B24:B25"/>
    <mergeCell ref="B26:B27"/>
    <mergeCell ref="B28:B29"/>
    <mergeCell ref="B22:B23"/>
    <mergeCell ref="B16:B17"/>
    <mergeCell ref="B12:B13"/>
    <mergeCell ref="B2:B3"/>
    <mergeCell ref="B4:B5"/>
    <mergeCell ref="B6:B7"/>
    <mergeCell ref="B14:B15"/>
    <mergeCell ref="B8:B9"/>
    <mergeCell ref="B10:B11"/>
  </mergeCells>
  <phoneticPr fontId="10" type="noConversion"/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5"/>
  <sheetViews>
    <sheetView workbookViewId="0">
      <selection activeCell="D7" sqref="D7"/>
    </sheetView>
  </sheetViews>
  <sheetFormatPr defaultColWidth="9.140625" defaultRowHeight="15" x14ac:dyDescent="0.25"/>
  <cols>
    <col min="1" max="1" width="21.85546875" customWidth="1"/>
    <col min="2" max="6" width="15.85546875" customWidth="1"/>
  </cols>
  <sheetData>
    <row r="1" spans="1:6" x14ac:dyDescent="0.25">
      <c r="A1" s="1" t="s">
        <v>7</v>
      </c>
      <c r="B1" s="1" t="s">
        <v>18</v>
      </c>
      <c r="C1" s="1" t="s">
        <v>13</v>
      </c>
      <c r="D1" s="1" t="s">
        <v>14</v>
      </c>
      <c r="E1" s="1" t="s">
        <v>8</v>
      </c>
      <c r="F1" s="1"/>
    </row>
    <row r="2" spans="1:6" x14ac:dyDescent="0.25">
      <c r="A2" t="s">
        <v>5</v>
      </c>
      <c r="B2" t="s">
        <v>19</v>
      </c>
      <c r="C2" t="s">
        <v>20</v>
      </c>
      <c r="D2" t="s">
        <v>15</v>
      </c>
      <c r="E2" t="s">
        <v>2</v>
      </c>
    </row>
    <row r="3" spans="1:6" x14ac:dyDescent="0.25">
      <c r="A3" t="s">
        <v>162</v>
      </c>
      <c r="B3" t="s">
        <v>112</v>
      </c>
      <c r="C3" t="s">
        <v>21</v>
      </c>
      <c r="D3" t="s">
        <v>16</v>
      </c>
      <c r="E3" t="s">
        <v>3</v>
      </c>
    </row>
    <row r="4" spans="1:6" x14ac:dyDescent="0.25">
      <c r="A4" t="s">
        <v>163</v>
      </c>
      <c r="B4" t="s">
        <v>113</v>
      </c>
      <c r="C4" t="s">
        <v>22</v>
      </c>
      <c r="D4" t="s">
        <v>187</v>
      </c>
      <c r="E4" t="s">
        <v>186</v>
      </c>
    </row>
    <row r="5" spans="1:6" x14ac:dyDescent="0.25">
      <c r="C5" t="s">
        <v>37</v>
      </c>
      <c r="D5" t="s">
        <v>188</v>
      </c>
    </row>
  </sheetData>
  <sheetProtection password="C8B5" sheet="1" objects="1" scenarios="1"/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37</vt:i4>
      </vt:variant>
    </vt:vector>
  </HeadingPairs>
  <TitlesOfParts>
    <vt:vector size="40" baseType="lpstr">
      <vt:lpstr>Wksht.LCL,UCL</vt:lpstr>
      <vt:lpstr>Provisional Parameter Values</vt:lpstr>
      <vt:lpstr>Pick Lists</vt:lpstr>
      <vt:lpstr>AllomExponentMedian</vt:lpstr>
      <vt:lpstr>AllomExponentSD</vt:lpstr>
      <vt:lpstr>ContBMRDefault</vt:lpstr>
      <vt:lpstr>DataDuration</vt:lpstr>
      <vt:lpstr>DataRoute</vt:lpstr>
      <vt:lpstr>DataSpecies</vt:lpstr>
      <vt:lpstr>DataType</vt:lpstr>
      <vt:lpstr>DogBWDefault</vt:lpstr>
      <vt:lpstr>HumanBWDefault</vt:lpstr>
      <vt:lpstr>InterTKTDGSD</vt:lpstr>
      <vt:lpstr>InterTKTDMedian</vt:lpstr>
      <vt:lpstr>LogGSDHGSDU</vt:lpstr>
      <vt:lpstr>LogGSDHMedian</vt:lpstr>
      <vt:lpstr>MouseBWDefault</vt:lpstr>
      <vt:lpstr>NOAELUncertContChrSubChrGSD</vt:lpstr>
      <vt:lpstr>NOAELUncertContChrSubChrMedian</vt:lpstr>
      <vt:lpstr>NOAELUncertContReproDevGSD</vt:lpstr>
      <vt:lpstr>NOAELUncertContReproDevMedian</vt:lpstr>
      <vt:lpstr>NOAELUncertQuantalDeterGSD</vt:lpstr>
      <vt:lpstr>NOAELUncertQuantalDeterMedian</vt:lpstr>
      <vt:lpstr>NOAELUncertQuantalGSD</vt:lpstr>
      <vt:lpstr>NOAELUncertQuantalMedian</vt:lpstr>
      <vt:lpstr>NOAELUncertQuantalStochGSD</vt:lpstr>
      <vt:lpstr>NOAELUncertQuantalStochMedian</vt:lpstr>
      <vt:lpstr>PODtype</vt:lpstr>
      <vt:lpstr>PODUncertNOAEL</vt:lpstr>
      <vt:lpstr>QuantalDeterNOAELEffectCorrection</vt:lpstr>
      <vt:lpstr>QuantalDeterNOAELEffectCorrGSD</vt:lpstr>
      <vt:lpstr>QuantalDeterNOAELEffectCorrMedian</vt:lpstr>
      <vt:lpstr>QuantDeterBMRDefault</vt:lpstr>
      <vt:lpstr>QuantStochBMRDefault</vt:lpstr>
      <vt:lpstr>RabbitBWDefault</vt:lpstr>
      <vt:lpstr>RatBWDefault</vt:lpstr>
      <vt:lpstr>SubacuteChronicGSD</vt:lpstr>
      <vt:lpstr>SubacuteChronicMedian</vt:lpstr>
      <vt:lpstr>SubchronicChronicGSD</vt:lpstr>
      <vt:lpstr>SubchronicChronicMedian</vt:lpstr>
    </vt:vector>
  </TitlesOfParts>
  <Company>US-EPA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Weihsueh Chiu</dc:creator>
  <cp:lastModifiedBy>Chiu, Weihsueh</cp:lastModifiedBy>
  <cp:lastPrinted>2014-05-23T10:49:13Z</cp:lastPrinted>
  <dcterms:created xsi:type="dcterms:W3CDTF">2013-05-28T16:21:41Z</dcterms:created>
  <dcterms:modified xsi:type="dcterms:W3CDTF">2017-06-01T13:07:05Z</dcterms:modified>
</cp:coreProperties>
</file>