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855" yWindow="0" windowWidth="12945" windowHeight="11745" activeTab="1"/>
  </bookViews>
  <sheets>
    <sheet name="Wksht.LCL,UCL" sheetId="9" r:id="rId1"/>
    <sheet name="Expo" sheetId="12" r:id="rId2"/>
    <sheet name="Provisional Parameter Values" sheetId="2" r:id="rId3"/>
    <sheet name="Pick Lists" sheetId="6" r:id="rId4"/>
  </sheets>
  <definedNames>
    <definedName name="AllomExponentMedian">'Provisional Parameter Values'!$A$37</definedName>
    <definedName name="AllomExponentSD">'Provisional Parameter Values'!$A$39</definedName>
    <definedName name="ContBMRDefault">'Provisional Parameter Values'!$A$13</definedName>
    <definedName name="DataDuration">'Pick Lists'!$C$2:$C$5</definedName>
    <definedName name="DataRoute">'Pick Lists'!$B$2:$B$4</definedName>
    <definedName name="DataSpecies">'Pick Lists'!$D$2:$D$5</definedName>
    <definedName name="DataType">'Pick Lists'!$A$2:$A$4</definedName>
    <definedName name="DogBWDefault">'Provisional Parameter Values'!$A$9</definedName>
    <definedName name="HumanBWDefault">'Provisional Parameter Values'!$A$3</definedName>
    <definedName name="InterTKTDGSD">'Provisional Parameter Values'!$A$43</definedName>
    <definedName name="InterTKTDMedian">'Provisional Parameter Values'!$A$41</definedName>
    <definedName name="LogGSDHGSDU">'Provisional Parameter Values'!$A$47</definedName>
    <definedName name="LogGSDHMedian">'Provisional Parameter Values'!$A$45</definedName>
    <definedName name="MouseBWDefault">'Provisional Parameter Values'!$A$7</definedName>
    <definedName name="NOAELUncertContChrSubChrGSD">'Provisional Parameter Values'!$A$31</definedName>
    <definedName name="NOAELUncertContChrSubChrMedian">'Provisional Parameter Values'!$A$29</definedName>
    <definedName name="NOAELUncertContReproDevGSD">'Provisional Parameter Values'!$A$35</definedName>
    <definedName name="NOAELUncertContReproDevMedian">'Provisional Parameter Values'!$A$33</definedName>
    <definedName name="NOAELUncertQuantalDeterGSD">'Provisional Parameter Values'!$A$23</definedName>
    <definedName name="NOAELUncertQuantalDeterMedian">'Provisional Parameter Values'!$A$21</definedName>
    <definedName name="NOAELUncertQuantalGSD">'Provisional Parameter Values'!$A$27</definedName>
    <definedName name="NOAELUncertQuantalMedian">'Provisional Parameter Values'!$A$25</definedName>
    <definedName name="NOAELUncertQuantalStochGSD">'Provisional Parameter Values'!$A$27</definedName>
    <definedName name="NOAELUncertQuantalStochMedian">'Provisional Parameter Values'!$A$25</definedName>
    <definedName name="PODtype">'Pick Lists'!$E$2:$E$4</definedName>
    <definedName name="PODUncertNOAEL">'Provisional Parameter Values'!$A$19</definedName>
    <definedName name="QuantalDeterNOAELEffectCorrection">'Provisional Parameter Values'!$A$21</definedName>
    <definedName name="QuantalDeterNOAELEffectCorrGSD">'Provisional Parameter Values'!$A$23</definedName>
    <definedName name="QuantalDeterNOAELEffectCorrMedian">'Provisional Parameter Values'!$A$21</definedName>
    <definedName name="QuantDeterBMRDefault">'Provisional Parameter Values'!$A$15</definedName>
    <definedName name="QuantStochBMRDefault">'Provisional Parameter Values'!$A$17</definedName>
    <definedName name="RabbitBWDefault">'Provisional Parameter Values'!$A$11</definedName>
    <definedName name="RatBWDefault">'Provisional Parameter Values'!$A$5</definedName>
    <definedName name="SubacuteChronicGSD">'Provisional Parameter Values'!$A$55</definedName>
    <definedName name="SubacuteChronicMedian">'Provisional Parameter Values'!$A$53</definedName>
    <definedName name="SubchronicChronicGSD">'Provisional Parameter Values'!$A$51</definedName>
    <definedName name="SubchronicChronicMedian">'Provisional Parameter Values'!$A$49</definedName>
  </definedNames>
  <calcPr calcId="145621"/>
</workbook>
</file>

<file path=xl/calcChain.xml><?xml version="1.0" encoding="utf-8"?>
<calcChain xmlns="http://schemas.openxmlformats.org/spreadsheetml/2006/main">
  <c r="F57" i="12" l="1"/>
  <c r="A58" i="12"/>
  <c r="E58" i="12" s="1"/>
  <c r="A57" i="12"/>
  <c r="E57" i="12" s="1"/>
  <c r="A56" i="12"/>
  <c r="A55" i="12"/>
  <c r="B55" i="12" s="1"/>
  <c r="F51" i="12"/>
  <c r="F4" i="12"/>
  <c r="H50" i="12" s="1"/>
  <c r="B1" i="12"/>
  <c r="A1" i="12"/>
  <c r="S58" i="12"/>
  <c r="M58" i="12"/>
  <c r="L58" i="12"/>
  <c r="R58" i="12"/>
  <c r="W61" i="12" s="1"/>
  <c r="S57" i="12"/>
  <c r="M57" i="12"/>
  <c r="L57" i="12"/>
  <c r="H57" i="12"/>
  <c r="B57" i="12"/>
  <c r="R57" i="12"/>
  <c r="Q61" i="12" s="1"/>
  <c r="S56" i="12"/>
  <c r="M56" i="12"/>
  <c r="L56" i="12"/>
  <c r="S55" i="12"/>
  <c r="M55" i="12"/>
  <c r="L55" i="12"/>
  <c r="F50" i="12"/>
  <c r="F58" i="12" l="1"/>
  <c r="C55" i="12"/>
  <c r="J55" i="12"/>
  <c r="B56" i="12"/>
  <c r="C56" i="12" s="1"/>
  <c r="C57" i="12"/>
  <c r="D57" i="12"/>
  <c r="G57" i="12"/>
  <c r="J57" i="12"/>
  <c r="B58" i="12"/>
  <c r="H58" i="12"/>
  <c r="J56" i="12"/>
  <c r="P63" i="12"/>
  <c r="C58" i="12"/>
  <c r="D58" i="12"/>
  <c r="G58" i="12"/>
  <c r="J58" i="12"/>
  <c r="V99" i="12" l="1"/>
  <c r="P99" i="12"/>
  <c r="P56" i="12"/>
  <c r="N56" i="12"/>
  <c r="Q56" i="12"/>
  <c r="O56" i="12"/>
  <c r="K56" i="12"/>
  <c r="H81" i="12" s="1"/>
  <c r="V63" i="12"/>
  <c r="K55" i="12"/>
  <c r="N55" i="12"/>
  <c r="P55" i="12" s="1"/>
  <c r="O55" i="12"/>
  <c r="Q55" i="12" s="1"/>
  <c r="R56" i="12"/>
  <c r="J61" i="12" s="1"/>
  <c r="P58" i="12"/>
  <c r="N58" i="12"/>
  <c r="Q58" i="12"/>
  <c r="O58" i="12"/>
  <c r="K58" i="12"/>
  <c r="U81" i="12" s="1"/>
  <c r="V117" i="12"/>
  <c r="Y116" i="12"/>
  <c r="Y115" i="12"/>
  <c r="Y114" i="12"/>
  <c r="Y113" i="12"/>
  <c r="Y112" i="12"/>
  <c r="Y111" i="12"/>
  <c r="Y110" i="12"/>
  <c r="Y109" i="12"/>
  <c r="Y108" i="12"/>
  <c r="Y107" i="12"/>
  <c r="Y106" i="12"/>
  <c r="Y105" i="12"/>
  <c r="Y104" i="12"/>
  <c r="Y103" i="12"/>
  <c r="Y102" i="12"/>
  <c r="Y101" i="12"/>
  <c r="Y100" i="12"/>
  <c r="Y99" i="12"/>
  <c r="P81" i="12"/>
  <c r="S80" i="12"/>
  <c r="S79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65" i="12"/>
  <c r="S64" i="12"/>
  <c r="S63" i="12"/>
  <c r="Q57" i="12"/>
  <c r="O57" i="12"/>
  <c r="K57" i="12"/>
  <c r="P57" i="12"/>
  <c r="N57" i="12"/>
  <c r="P117" i="12"/>
  <c r="S116" i="12"/>
  <c r="S115" i="12"/>
  <c r="S114" i="12"/>
  <c r="S113" i="12"/>
  <c r="S112" i="12"/>
  <c r="S111" i="12"/>
  <c r="S110" i="12"/>
  <c r="S109" i="12"/>
  <c r="S108" i="12"/>
  <c r="S107" i="12"/>
  <c r="S106" i="12"/>
  <c r="S105" i="12"/>
  <c r="S104" i="12"/>
  <c r="S103" i="12"/>
  <c r="S102" i="12"/>
  <c r="S101" i="12"/>
  <c r="S100" i="12"/>
  <c r="S99" i="12"/>
  <c r="R55" i="12"/>
  <c r="D61" i="12" s="1"/>
  <c r="O81" i="12" l="1"/>
  <c r="R98" i="12" s="1"/>
  <c r="B63" i="12"/>
  <c r="E80" i="12" s="1"/>
  <c r="S135" i="12"/>
  <c r="S134" i="12"/>
  <c r="S133" i="12"/>
  <c r="S132" i="12"/>
  <c r="S131" i="12"/>
  <c r="S130" i="12"/>
  <c r="S129" i="12"/>
  <c r="S128" i="12"/>
  <c r="S127" i="12"/>
  <c r="S126" i="12"/>
  <c r="S125" i="12"/>
  <c r="S124" i="12"/>
  <c r="S123" i="12"/>
  <c r="S122" i="12"/>
  <c r="S121" i="12"/>
  <c r="S120" i="12"/>
  <c r="S119" i="12"/>
  <c r="S118" i="12"/>
  <c r="S117" i="12"/>
  <c r="S98" i="12"/>
  <c r="S97" i="12"/>
  <c r="S96" i="12"/>
  <c r="S95" i="12"/>
  <c r="S94" i="12"/>
  <c r="S93" i="12"/>
  <c r="S92" i="12"/>
  <c r="S91" i="12"/>
  <c r="S90" i="12"/>
  <c r="S89" i="12"/>
  <c r="S88" i="12"/>
  <c r="S87" i="12"/>
  <c r="S86" i="12"/>
  <c r="S85" i="12"/>
  <c r="S84" i="12"/>
  <c r="S83" i="12"/>
  <c r="S82" i="12"/>
  <c r="S81" i="12"/>
  <c r="U99" i="12"/>
  <c r="X98" i="12"/>
  <c r="X97" i="12"/>
  <c r="X96" i="12"/>
  <c r="X95" i="12"/>
  <c r="X94" i="12"/>
  <c r="X93" i="12"/>
  <c r="X87" i="12"/>
  <c r="X86" i="12"/>
  <c r="X85" i="12"/>
  <c r="X84" i="12"/>
  <c r="X83" i="12"/>
  <c r="X82" i="12"/>
  <c r="X81" i="12"/>
  <c r="X92" i="12"/>
  <c r="X91" i="12"/>
  <c r="X90" i="12"/>
  <c r="X89" i="12"/>
  <c r="X88" i="12"/>
  <c r="U63" i="12"/>
  <c r="B81" i="12"/>
  <c r="O99" i="12"/>
  <c r="R97" i="12"/>
  <c r="T97" i="12" s="1"/>
  <c r="R95" i="12"/>
  <c r="T95" i="12" s="1"/>
  <c r="R93" i="12"/>
  <c r="T93" i="12" s="1"/>
  <c r="R91" i="12"/>
  <c r="T91" i="12" s="1"/>
  <c r="R89" i="12"/>
  <c r="T89" i="12" s="1"/>
  <c r="R87" i="12"/>
  <c r="T87" i="12" s="1"/>
  <c r="R85" i="12"/>
  <c r="R83" i="12"/>
  <c r="T83" i="12" s="1"/>
  <c r="R81" i="12"/>
  <c r="O63" i="12"/>
  <c r="Y135" i="12"/>
  <c r="Y134" i="12"/>
  <c r="Y133" i="12"/>
  <c r="Y132" i="12"/>
  <c r="Y131" i="12"/>
  <c r="Y130" i="12"/>
  <c r="Y129" i="12"/>
  <c r="Y128" i="12"/>
  <c r="Y127" i="12"/>
  <c r="Y126" i="12"/>
  <c r="Y125" i="12"/>
  <c r="Y124" i="12"/>
  <c r="Y123" i="12"/>
  <c r="Y122" i="12"/>
  <c r="Y121" i="12"/>
  <c r="Y120" i="12"/>
  <c r="Y119" i="12"/>
  <c r="Y118" i="12"/>
  <c r="Y117" i="12"/>
  <c r="B117" i="12"/>
  <c r="E79" i="12"/>
  <c r="E77" i="12"/>
  <c r="E75" i="12"/>
  <c r="E73" i="12"/>
  <c r="E71" i="12"/>
  <c r="E69" i="12"/>
  <c r="E67" i="12"/>
  <c r="E65" i="12"/>
  <c r="E63" i="12"/>
  <c r="V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H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5" i="12"/>
  <c r="K84" i="12"/>
  <c r="K83" i="12"/>
  <c r="K82" i="12"/>
  <c r="K81" i="12"/>
  <c r="H63" i="12"/>
  <c r="T81" i="12" l="1"/>
  <c r="T85" i="12"/>
  <c r="T98" i="12"/>
  <c r="E64" i="12"/>
  <c r="E66" i="12"/>
  <c r="E68" i="12"/>
  <c r="E70" i="12"/>
  <c r="E72" i="12"/>
  <c r="E74" i="12"/>
  <c r="E76" i="12"/>
  <c r="E78" i="12"/>
  <c r="R82" i="12"/>
  <c r="T82" i="12" s="1"/>
  <c r="R84" i="12"/>
  <c r="T84" i="12" s="1"/>
  <c r="R86" i="12"/>
  <c r="T86" i="12" s="1"/>
  <c r="R88" i="12"/>
  <c r="T88" i="12" s="1"/>
  <c r="R90" i="12"/>
  <c r="T90" i="12" s="1"/>
  <c r="R92" i="12"/>
  <c r="T92" i="12" s="1"/>
  <c r="R94" i="12"/>
  <c r="T94" i="12" s="1"/>
  <c r="R96" i="12"/>
  <c r="T96" i="12" s="1"/>
  <c r="H117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Y98" i="12"/>
  <c r="Z98" i="12" s="1"/>
  <c r="Y97" i="12"/>
  <c r="Y96" i="12"/>
  <c r="Y95" i="12"/>
  <c r="Y94" i="12"/>
  <c r="Z94" i="12" s="1"/>
  <c r="Y93" i="12"/>
  <c r="Y92" i="12"/>
  <c r="Z92" i="12" s="1"/>
  <c r="Y91" i="12"/>
  <c r="Y90" i="12"/>
  <c r="Y89" i="12"/>
  <c r="Y88" i="12"/>
  <c r="Z88" i="12" s="1"/>
  <c r="Y87" i="12"/>
  <c r="Y86" i="12"/>
  <c r="Y85" i="12"/>
  <c r="Y84" i="12"/>
  <c r="Z84" i="12" s="1"/>
  <c r="Y83" i="12"/>
  <c r="Y82" i="12"/>
  <c r="Y81" i="12"/>
  <c r="K116" i="12"/>
  <c r="K115" i="12"/>
  <c r="K114" i="12"/>
  <c r="K113" i="12"/>
  <c r="K112" i="12"/>
  <c r="K111" i="12"/>
  <c r="K110" i="12"/>
  <c r="K109" i="12"/>
  <c r="K108" i="12"/>
  <c r="K107" i="12"/>
  <c r="K106" i="12"/>
  <c r="K105" i="12"/>
  <c r="K104" i="12"/>
  <c r="K103" i="12"/>
  <c r="K102" i="12"/>
  <c r="K101" i="12"/>
  <c r="K100" i="12"/>
  <c r="K99" i="12"/>
  <c r="E121" i="12"/>
  <c r="E120" i="12"/>
  <c r="E119" i="12"/>
  <c r="E118" i="12"/>
  <c r="E117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R116" i="12"/>
  <c r="T116" i="12" s="1"/>
  <c r="R115" i="12"/>
  <c r="T115" i="12" s="1"/>
  <c r="R114" i="12"/>
  <c r="T114" i="12" s="1"/>
  <c r="R113" i="12"/>
  <c r="T113" i="12" s="1"/>
  <c r="R112" i="12"/>
  <c r="T112" i="12" s="1"/>
  <c r="R111" i="12"/>
  <c r="T111" i="12" s="1"/>
  <c r="R110" i="12"/>
  <c r="T110" i="12" s="1"/>
  <c r="R109" i="12"/>
  <c r="T109" i="12" s="1"/>
  <c r="R108" i="12"/>
  <c r="T108" i="12" s="1"/>
  <c r="R107" i="12"/>
  <c r="T107" i="12" s="1"/>
  <c r="R106" i="12"/>
  <c r="T106" i="12" s="1"/>
  <c r="R105" i="12"/>
  <c r="T105" i="12" s="1"/>
  <c r="R104" i="12"/>
  <c r="T104" i="12" s="1"/>
  <c r="R103" i="12"/>
  <c r="T103" i="12" s="1"/>
  <c r="R102" i="12"/>
  <c r="T102" i="12" s="1"/>
  <c r="R101" i="12"/>
  <c r="T101" i="12" s="1"/>
  <c r="R100" i="12"/>
  <c r="T100" i="12" s="1"/>
  <c r="R99" i="12"/>
  <c r="T99" i="12" s="1"/>
  <c r="Z90" i="12"/>
  <c r="Z82" i="12"/>
  <c r="Z86" i="12"/>
  <c r="Z93" i="12"/>
  <c r="Z95" i="12"/>
  <c r="Z97" i="12"/>
  <c r="X116" i="12"/>
  <c r="Z116" i="12" s="1"/>
  <c r="X115" i="12"/>
  <c r="Z115" i="12" s="1"/>
  <c r="X114" i="12"/>
  <c r="Z114" i="12" s="1"/>
  <c r="X113" i="12"/>
  <c r="Z113" i="12" s="1"/>
  <c r="X112" i="12"/>
  <c r="Z112" i="12" s="1"/>
  <c r="X111" i="12"/>
  <c r="Z111" i="12" s="1"/>
  <c r="X110" i="12"/>
  <c r="Z110" i="12" s="1"/>
  <c r="X109" i="12"/>
  <c r="Z109" i="12" s="1"/>
  <c r="X108" i="12"/>
  <c r="Z108" i="12" s="1"/>
  <c r="X107" i="12"/>
  <c r="Z107" i="12" s="1"/>
  <c r="X106" i="12"/>
  <c r="Z106" i="12" s="1"/>
  <c r="X105" i="12"/>
  <c r="Z105" i="12" s="1"/>
  <c r="X104" i="12"/>
  <c r="Z104" i="12" s="1"/>
  <c r="X103" i="12"/>
  <c r="Z103" i="12" s="1"/>
  <c r="X102" i="12"/>
  <c r="Z102" i="12" s="1"/>
  <c r="X101" i="12"/>
  <c r="Z101" i="12" s="1"/>
  <c r="X100" i="12"/>
  <c r="Z100" i="12" s="1"/>
  <c r="X99" i="12"/>
  <c r="Z99" i="12" s="1"/>
  <c r="O117" i="12"/>
  <c r="R80" i="12"/>
  <c r="T80" i="12" s="1"/>
  <c r="R79" i="12"/>
  <c r="T79" i="12" s="1"/>
  <c r="R78" i="12"/>
  <c r="T78" i="12" s="1"/>
  <c r="R77" i="12"/>
  <c r="T77" i="12" s="1"/>
  <c r="R76" i="12"/>
  <c r="T76" i="12" s="1"/>
  <c r="R75" i="12"/>
  <c r="T75" i="12" s="1"/>
  <c r="R74" i="12"/>
  <c r="T74" i="12" s="1"/>
  <c r="R73" i="12"/>
  <c r="T73" i="12" s="1"/>
  <c r="R63" i="12"/>
  <c r="T63" i="12" s="1"/>
  <c r="R72" i="12"/>
  <c r="T72" i="12" s="1"/>
  <c r="R71" i="12"/>
  <c r="T71" i="12" s="1"/>
  <c r="R70" i="12"/>
  <c r="T70" i="12" s="1"/>
  <c r="R69" i="12"/>
  <c r="T69" i="12" s="1"/>
  <c r="R68" i="12"/>
  <c r="T68" i="12" s="1"/>
  <c r="R67" i="12"/>
  <c r="T67" i="12" s="1"/>
  <c r="R66" i="12"/>
  <c r="T66" i="12" s="1"/>
  <c r="R65" i="12"/>
  <c r="T65" i="12" s="1"/>
  <c r="R64" i="12"/>
  <c r="T64" i="12" s="1"/>
  <c r="B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U117" i="12"/>
  <c r="X80" i="12"/>
  <c r="Z80" i="12" s="1"/>
  <c r="X79" i="12"/>
  <c r="Z79" i="12" s="1"/>
  <c r="X78" i="12"/>
  <c r="Z78" i="12" s="1"/>
  <c r="X77" i="12"/>
  <c r="Z77" i="12" s="1"/>
  <c r="X76" i="12"/>
  <c r="Z76" i="12" s="1"/>
  <c r="X75" i="12"/>
  <c r="Z75" i="12" s="1"/>
  <c r="X74" i="12"/>
  <c r="Z74" i="12" s="1"/>
  <c r="X73" i="12"/>
  <c r="Z73" i="12" s="1"/>
  <c r="X72" i="12"/>
  <c r="Z72" i="12" s="1"/>
  <c r="X71" i="12"/>
  <c r="Z71" i="12" s="1"/>
  <c r="X70" i="12"/>
  <c r="Z70" i="12" s="1"/>
  <c r="X69" i="12"/>
  <c r="Z69" i="12" s="1"/>
  <c r="X68" i="12"/>
  <c r="Z68" i="12" s="1"/>
  <c r="X67" i="12"/>
  <c r="Z67" i="12" s="1"/>
  <c r="X66" i="12"/>
  <c r="Z66" i="12" s="1"/>
  <c r="X65" i="12"/>
  <c r="Z65" i="12" s="1"/>
  <c r="X64" i="12"/>
  <c r="Z64" i="12" s="1"/>
  <c r="X63" i="12"/>
  <c r="Z63" i="12" s="1"/>
  <c r="Z89" i="12"/>
  <c r="Z91" i="12"/>
  <c r="Z81" i="12"/>
  <c r="Z83" i="12"/>
  <c r="Z85" i="12"/>
  <c r="Z87" i="12"/>
  <c r="Z96" i="12"/>
  <c r="X135" i="12" l="1"/>
  <c r="Z135" i="12" s="1"/>
  <c r="X134" i="12"/>
  <c r="Z134" i="12" s="1"/>
  <c r="X133" i="12"/>
  <c r="Z133" i="12" s="1"/>
  <c r="X132" i="12"/>
  <c r="Z132" i="12" s="1"/>
  <c r="X131" i="12"/>
  <c r="Z131" i="12" s="1"/>
  <c r="X130" i="12"/>
  <c r="Z130" i="12" s="1"/>
  <c r="X129" i="12"/>
  <c r="Z129" i="12" s="1"/>
  <c r="X128" i="12"/>
  <c r="Z128" i="12" s="1"/>
  <c r="X127" i="12"/>
  <c r="Z127" i="12" s="1"/>
  <c r="X126" i="12"/>
  <c r="Z126" i="12" s="1"/>
  <c r="X125" i="12"/>
  <c r="Z125" i="12" s="1"/>
  <c r="X124" i="12"/>
  <c r="Z124" i="12" s="1"/>
  <c r="X123" i="12"/>
  <c r="Z123" i="12" s="1"/>
  <c r="X122" i="12"/>
  <c r="Z122" i="12" s="1"/>
  <c r="X121" i="12"/>
  <c r="Z121" i="12" s="1"/>
  <c r="X120" i="12"/>
  <c r="Z120" i="12" s="1"/>
  <c r="X119" i="12"/>
  <c r="Z119" i="12" s="1"/>
  <c r="X118" i="12"/>
  <c r="Z118" i="12" s="1"/>
  <c r="X117" i="12"/>
  <c r="Z117" i="12" s="1"/>
  <c r="R135" i="12"/>
  <c r="T135" i="12" s="1"/>
  <c r="R134" i="12"/>
  <c r="T134" i="12" s="1"/>
  <c r="R133" i="12"/>
  <c r="T133" i="12" s="1"/>
  <c r="R132" i="12"/>
  <c r="T132" i="12" s="1"/>
  <c r="R131" i="12"/>
  <c r="T131" i="12" s="1"/>
  <c r="R130" i="12"/>
  <c r="T130" i="12" s="1"/>
  <c r="R129" i="12"/>
  <c r="T129" i="12" s="1"/>
  <c r="R128" i="12"/>
  <c r="T128" i="12" s="1"/>
  <c r="R127" i="12"/>
  <c r="T127" i="12" s="1"/>
  <c r="R126" i="12"/>
  <c r="T126" i="12" s="1"/>
  <c r="R125" i="12"/>
  <c r="T125" i="12" s="1"/>
  <c r="R124" i="12"/>
  <c r="T124" i="12" s="1"/>
  <c r="R123" i="12"/>
  <c r="T123" i="12" s="1"/>
  <c r="R122" i="12"/>
  <c r="T122" i="12" s="1"/>
  <c r="R121" i="12"/>
  <c r="T121" i="12" s="1"/>
  <c r="R120" i="12"/>
  <c r="T120" i="12" s="1"/>
  <c r="R119" i="12"/>
  <c r="T119" i="12" s="1"/>
  <c r="R118" i="12"/>
  <c r="T118" i="12" s="1"/>
  <c r="R117" i="12"/>
  <c r="T117" i="12" s="1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K135" i="12"/>
  <c r="K134" i="12"/>
  <c r="K133" i="12"/>
  <c r="K132" i="12"/>
  <c r="K131" i="12"/>
  <c r="K130" i="12"/>
  <c r="K129" i="12"/>
  <c r="K128" i="12"/>
  <c r="K127" i="12"/>
  <c r="K126" i="12"/>
  <c r="K125" i="12"/>
  <c r="K124" i="12"/>
  <c r="K123" i="12"/>
  <c r="K122" i="12"/>
  <c r="K121" i="12"/>
  <c r="K120" i="12"/>
  <c r="K119" i="12"/>
  <c r="K118" i="12"/>
  <c r="K117" i="12"/>
  <c r="D61" i="9" l="1"/>
  <c r="D17" i="9"/>
  <c r="D10" i="9" l="1"/>
  <c r="D12" i="9" l="1"/>
  <c r="C61" i="9" l="1"/>
  <c r="B61" i="9"/>
  <c r="B14" i="9"/>
  <c r="D11" i="9"/>
  <c r="B11" i="9" s="1"/>
  <c r="B10" i="9"/>
  <c r="D18" i="9"/>
  <c r="B18" i="9" s="1"/>
  <c r="A29" i="2"/>
  <c r="A31" i="2"/>
  <c r="D27" i="9" s="1"/>
  <c r="C27" i="9" s="1"/>
  <c r="D28" i="9"/>
  <c r="C28" i="9" s="1"/>
  <c r="B12" i="9"/>
  <c r="B20" i="9"/>
  <c r="H124" i="9" s="1"/>
  <c r="D60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12" i="9"/>
  <c r="I111" i="9"/>
  <c r="C67" i="9"/>
  <c r="F42" i="9"/>
  <c r="F40" i="9"/>
  <c r="F38" i="9"/>
  <c r="C66" i="9"/>
  <c r="A89" i="9" s="1"/>
  <c r="A45" i="2"/>
  <c r="A47" i="2"/>
  <c r="D35" i="9"/>
  <c r="C35" i="9" s="1"/>
  <c r="D36" i="9"/>
  <c r="C36" i="9" s="1"/>
  <c r="A43" i="2"/>
  <c r="C73" i="9"/>
  <c r="C72" i="9"/>
  <c r="C71" i="9"/>
  <c r="E111" i="9" s="1"/>
  <c r="C70" i="9"/>
  <c r="C69" i="9"/>
  <c r="C68" i="9"/>
  <c r="B60" i="9"/>
  <c r="F41" i="9"/>
  <c r="C41" i="9"/>
  <c r="H41" i="9"/>
  <c r="H42" i="9"/>
  <c r="I42" i="9" s="1"/>
  <c r="J41" i="9" s="1"/>
  <c r="C40" i="9"/>
  <c r="F39" i="9"/>
  <c r="C39" i="9"/>
  <c r="H39" i="9" s="1"/>
  <c r="H40" i="9" s="1"/>
  <c r="I40" i="9" s="1"/>
  <c r="J39" i="9" s="1"/>
  <c r="F37" i="9"/>
  <c r="H37" i="9"/>
  <c r="H38" i="9"/>
  <c r="I38" i="9" s="1"/>
  <c r="J37" i="9" s="1"/>
  <c r="F35" i="9"/>
  <c r="D34" i="9"/>
  <c r="C34" i="9" s="1"/>
  <c r="F33" i="9"/>
  <c r="D33" i="9"/>
  <c r="C33" i="9" s="1"/>
  <c r="D32" i="9"/>
  <c r="C32" i="9"/>
  <c r="F31" i="9"/>
  <c r="D31" i="9"/>
  <c r="C31" i="9" s="1"/>
  <c r="F29" i="9"/>
  <c r="A33" i="2"/>
  <c r="A35" i="2"/>
  <c r="F27" i="9"/>
  <c r="C26" i="9"/>
  <c r="C25" i="9" s="1"/>
  <c r="H25" i="9" s="1"/>
  <c r="F25" i="9"/>
  <c r="B59" i="9"/>
  <c r="G111" i="9"/>
  <c r="F111" i="9"/>
  <c r="D111" i="9"/>
  <c r="C111" i="9"/>
  <c r="B111" i="9"/>
  <c r="A39" i="2"/>
  <c r="A27" i="2"/>
  <c r="A23" i="2"/>
  <c r="A25" i="2"/>
  <c r="A21" i="2"/>
  <c r="A55" i="2"/>
  <c r="A51" i="2"/>
  <c r="H116" i="9" l="1"/>
  <c r="H26" i="9"/>
  <c r="I26" i="9" s="1"/>
  <c r="E55" i="12"/>
  <c r="E56" i="12"/>
  <c r="H129" i="9"/>
  <c r="T57" i="12"/>
  <c r="T55" i="12"/>
  <c r="T58" i="12"/>
  <c r="T56" i="12"/>
  <c r="H112" i="9"/>
  <c r="H120" i="9"/>
  <c r="H128" i="9"/>
  <c r="H115" i="9"/>
  <c r="H119" i="9"/>
  <c r="H123" i="9"/>
  <c r="H127" i="9"/>
  <c r="H131" i="9"/>
  <c r="B58" i="9"/>
  <c r="D54" i="9"/>
  <c r="D53" i="9"/>
  <c r="D46" i="9"/>
  <c r="D45" i="9"/>
  <c r="A90" i="9"/>
  <c r="B89" i="9"/>
  <c r="C89" i="9" s="1"/>
  <c r="A112" i="9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H114" i="9"/>
  <c r="H118" i="9"/>
  <c r="H122" i="9"/>
  <c r="H126" i="9"/>
  <c r="H130" i="9"/>
  <c r="H113" i="9"/>
  <c r="H117" i="9"/>
  <c r="H121" i="9"/>
  <c r="H125" i="9"/>
  <c r="H35" i="9"/>
  <c r="H31" i="9"/>
  <c r="H32" i="9" s="1"/>
  <c r="I32" i="9" s="1"/>
  <c r="H33" i="9"/>
  <c r="H34" i="9" s="1"/>
  <c r="I34" i="9" s="1"/>
  <c r="H36" i="9"/>
  <c r="I36" i="9" s="1"/>
  <c r="H27" i="9"/>
  <c r="D30" i="9"/>
  <c r="C30" i="9" s="1"/>
  <c r="D29" i="9"/>
  <c r="C29" i="9" s="1"/>
  <c r="D55" i="12" l="1"/>
  <c r="D56" i="12"/>
  <c r="J25" i="9"/>
  <c r="F56" i="12"/>
  <c r="G56" i="12" s="1"/>
  <c r="I99" i="12" s="1"/>
  <c r="I117" i="12" s="1"/>
  <c r="F55" i="12"/>
  <c r="G55" i="12" s="1"/>
  <c r="A91" i="9"/>
  <c r="B90" i="9"/>
  <c r="C90" i="9" s="1"/>
  <c r="H28" i="9"/>
  <c r="H29" i="9"/>
  <c r="H56" i="12" l="1"/>
  <c r="I63" i="12" s="1"/>
  <c r="C99" i="12"/>
  <c r="H55" i="12"/>
  <c r="C63" i="12" s="1"/>
  <c r="A92" i="9"/>
  <c r="B91" i="9"/>
  <c r="C91" i="9" s="1"/>
  <c r="I44" i="9"/>
  <c r="H30" i="9"/>
  <c r="I30" i="9" s="1"/>
  <c r="H44" i="9"/>
  <c r="D91" i="9"/>
  <c r="I28" i="9"/>
  <c r="D89" i="9"/>
  <c r="D90" i="9"/>
  <c r="C117" i="12" l="1"/>
  <c r="F115" i="12"/>
  <c r="G115" i="12" s="1"/>
  <c r="F113" i="12"/>
  <c r="G113" i="12" s="1"/>
  <c r="F111" i="12"/>
  <c r="G111" i="12" s="1"/>
  <c r="F109" i="12"/>
  <c r="G109" i="12" s="1"/>
  <c r="F107" i="12"/>
  <c r="G107" i="12" s="1"/>
  <c r="F105" i="12"/>
  <c r="G105" i="12" s="1"/>
  <c r="F103" i="12"/>
  <c r="G103" i="12" s="1"/>
  <c r="F101" i="12"/>
  <c r="G101" i="12" s="1"/>
  <c r="F99" i="12"/>
  <c r="G99" i="12" s="1"/>
  <c r="F116" i="12"/>
  <c r="G116" i="12" s="1"/>
  <c r="F114" i="12"/>
  <c r="G114" i="12" s="1"/>
  <c r="F112" i="12"/>
  <c r="G112" i="12" s="1"/>
  <c r="F110" i="12"/>
  <c r="G110" i="12" s="1"/>
  <c r="F108" i="12"/>
  <c r="G108" i="12" s="1"/>
  <c r="F106" i="12"/>
  <c r="G106" i="12" s="1"/>
  <c r="F104" i="12"/>
  <c r="G104" i="12" s="1"/>
  <c r="F102" i="12"/>
  <c r="G102" i="12" s="1"/>
  <c r="F100" i="12"/>
  <c r="G100" i="12" s="1"/>
  <c r="C81" i="12"/>
  <c r="F79" i="12"/>
  <c r="G79" i="12" s="1"/>
  <c r="F77" i="12"/>
  <c r="G77" i="12" s="1"/>
  <c r="F75" i="12"/>
  <c r="G75" i="12" s="1"/>
  <c r="F73" i="12"/>
  <c r="G73" i="12" s="1"/>
  <c r="F71" i="12"/>
  <c r="G71" i="12" s="1"/>
  <c r="F69" i="12"/>
  <c r="G69" i="12" s="1"/>
  <c r="F67" i="12"/>
  <c r="G67" i="12" s="1"/>
  <c r="F65" i="12"/>
  <c r="G65" i="12" s="1"/>
  <c r="F63" i="12"/>
  <c r="G63" i="12" s="1"/>
  <c r="F80" i="12"/>
  <c r="G80" i="12" s="1"/>
  <c r="F78" i="12"/>
  <c r="G78" i="12" s="1"/>
  <c r="F76" i="12"/>
  <c r="G76" i="12" s="1"/>
  <c r="F74" i="12"/>
  <c r="G74" i="12" s="1"/>
  <c r="F72" i="12"/>
  <c r="G72" i="12" s="1"/>
  <c r="F70" i="12"/>
  <c r="G70" i="12" s="1"/>
  <c r="F68" i="12"/>
  <c r="G68" i="12" s="1"/>
  <c r="F66" i="12"/>
  <c r="G66" i="12" s="1"/>
  <c r="F64" i="12"/>
  <c r="G64" i="12" s="1"/>
  <c r="L135" i="12"/>
  <c r="M135" i="12" s="1"/>
  <c r="L120" i="12"/>
  <c r="M120" i="12" s="1"/>
  <c r="L118" i="12"/>
  <c r="M118" i="12" s="1"/>
  <c r="L116" i="12"/>
  <c r="M116" i="12" s="1"/>
  <c r="L133" i="12"/>
  <c r="M133" i="12" s="1"/>
  <c r="L131" i="12"/>
  <c r="M131" i="12" s="1"/>
  <c r="L129" i="12"/>
  <c r="M129" i="12" s="1"/>
  <c r="L127" i="12"/>
  <c r="M127" i="12" s="1"/>
  <c r="L125" i="12"/>
  <c r="M125" i="12" s="1"/>
  <c r="L123" i="12"/>
  <c r="M123" i="12" s="1"/>
  <c r="L115" i="12"/>
  <c r="M115" i="12" s="1"/>
  <c r="L113" i="12"/>
  <c r="M113" i="12" s="1"/>
  <c r="L111" i="12"/>
  <c r="M111" i="12" s="1"/>
  <c r="L109" i="12"/>
  <c r="M109" i="12" s="1"/>
  <c r="L107" i="12"/>
  <c r="M107" i="12" s="1"/>
  <c r="L105" i="12"/>
  <c r="M105" i="12" s="1"/>
  <c r="L103" i="12"/>
  <c r="M103" i="12" s="1"/>
  <c r="L101" i="12"/>
  <c r="M101" i="12" s="1"/>
  <c r="L99" i="12"/>
  <c r="M99" i="12" s="1"/>
  <c r="L97" i="12"/>
  <c r="M97" i="12" s="1"/>
  <c r="L95" i="12"/>
  <c r="M95" i="12" s="1"/>
  <c r="L93" i="12"/>
  <c r="M93" i="12" s="1"/>
  <c r="L91" i="12"/>
  <c r="M91" i="12" s="1"/>
  <c r="L89" i="12"/>
  <c r="M89" i="12" s="1"/>
  <c r="L87" i="12"/>
  <c r="M87" i="12" s="1"/>
  <c r="L85" i="12"/>
  <c r="M85" i="12" s="1"/>
  <c r="L83" i="12"/>
  <c r="M83" i="12" s="1"/>
  <c r="L81" i="12"/>
  <c r="M81" i="12" s="1"/>
  <c r="L80" i="12"/>
  <c r="M80" i="12" s="1"/>
  <c r="L78" i="12"/>
  <c r="M78" i="12" s="1"/>
  <c r="L76" i="12"/>
  <c r="M76" i="12" s="1"/>
  <c r="L74" i="12"/>
  <c r="M74" i="12" s="1"/>
  <c r="L72" i="12"/>
  <c r="M72" i="12" s="1"/>
  <c r="L70" i="12"/>
  <c r="M70" i="12" s="1"/>
  <c r="L68" i="12"/>
  <c r="M68" i="12" s="1"/>
  <c r="L66" i="12"/>
  <c r="M66" i="12" s="1"/>
  <c r="L64" i="12"/>
  <c r="M64" i="12" s="1"/>
  <c r="L121" i="12"/>
  <c r="M121" i="12" s="1"/>
  <c r="L119" i="12"/>
  <c r="M119" i="12" s="1"/>
  <c r="L117" i="12"/>
  <c r="M117" i="12" s="1"/>
  <c r="L134" i="12"/>
  <c r="M134" i="12" s="1"/>
  <c r="L132" i="12"/>
  <c r="M132" i="12" s="1"/>
  <c r="L130" i="12"/>
  <c r="M130" i="12" s="1"/>
  <c r="L128" i="12"/>
  <c r="M128" i="12" s="1"/>
  <c r="L126" i="12"/>
  <c r="M126" i="12" s="1"/>
  <c r="L124" i="12"/>
  <c r="M124" i="12" s="1"/>
  <c r="L122" i="12"/>
  <c r="M122" i="12" s="1"/>
  <c r="L114" i="12"/>
  <c r="M114" i="12" s="1"/>
  <c r="L112" i="12"/>
  <c r="M112" i="12" s="1"/>
  <c r="L110" i="12"/>
  <c r="M110" i="12" s="1"/>
  <c r="L108" i="12"/>
  <c r="M108" i="12" s="1"/>
  <c r="L106" i="12"/>
  <c r="M106" i="12" s="1"/>
  <c r="L104" i="12"/>
  <c r="M104" i="12" s="1"/>
  <c r="L102" i="12"/>
  <c r="M102" i="12" s="1"/>
  <c r="L100" i="12"/>
  <c r="M100" i="12" s="1"/>
  <c r="L98" i="12"/>
  <c r="M98" i="12" s="1"/>
  <c r="L96" i="12"/>
  <c r="M96" i="12" s="1"/>
  <c r="L94" i="12"/>
  <c r="M94" i="12" s="1"/>
  <c r="L92" i="12"/>
  <c r="M92" i="12" s="1"/>
  <c r="L90" i="12"/>
  <c r="M90" i="12" s="1"/>
  <c r="L88" i="12"/>
  <c r="M88" i="12" s="1"/>
  <c r="L86" i="12"/>
  <c r="M86" i="12" s="1"/>
  <c r="L84" i="12"/>
  <c r="M84" i="12" s="1"/>
  <c r="L82" i="12"/>
  <c r="M82" i="12" s="1"/>
  <c r="I81" i="12"/>
  <c r="L79" i="12"/>
  <c r="M79" i="12" s="1"/>
  <c r="L77" i="12"/>
  <c r="M77" i="12" s="1"/>
  <c r="L75" i="12"/>
  <c r="M75" i="12" s="1"/>
  <c r="L73" i="12"/>
  <c r="M73" i="12" s="1"/>
  <c r="L71" i="12"/>
  <c r="M71" i="12" s="1"/>
  <c r="L69" i="12"/>
  <c r="M69" i="12" s="1"/>
  <c r="L67" i="12"/>
  <c r="M67" i="12" s="1"/>
  <c r="L65" i="12"/>
  <c r="M65" i="12" s="1"/>
  <c r="L63" i="12"/>
  <c r="M63" i="12" s="1"/>
  <c r="B92" i="9"/>
  <c r="A93" i="9"/>
  <c r="H45" i="9"/>
  <c r="C45" i="9" s="1"/>
  <c r="I45" i="9"/>
  <c r="E91" i="9"/>
  <c r="D114" i="9" s="1"/>
  <c r="E89" i="9"/>
  <c r="D112" i="9" s="1"/>
  <c r="E90" i="9"/>
  <c r="B113" i="9" s="1"/>
  <c r="F98" i="12" l="1"/>
  <c r="G98" i="12" s="1"/>
  <c r="F96" i="12"/>
  <c r="G96" i="12" s="1"/>
  <c r="F94" i="12"/>
  <c r="G94" i="12" s="1"/>
  <c r="F87" i="12"/>
  <c r="G87" i="12" s="1"/>
  <c r="F85" i="12"/>
  <c r="G85" i="12" s="1"/>
  <c r="F83" i="12"/>
  <c r="G83" i="12" s="1"/>
  <c r="F81" i="12"/>
  <c r="G81" i="12" s="1"/>
  <c r="F91" i="12"/>
  <c r="G91" i="12" s="1"/>
  <c r="F89" i="12"/>
  <c r="G89" i="12" s="1"/>
  <c r="F97" i="12"/>
  <c r="G97" i="12" s="1"/>
  <c r="F95" i="12"/>
  <c r="G95" i="12" s="1"/>
  <c r="F93" i="12"/>
  <c r="G93" i="12" s="1"/>
  <c r="F86" i="12"/>
  <c r="G86" i="12" s="1"/>
  <c r="F84" i="12"/>
  <c r="G84" i="12" s="1"/>
  <c r="F82" i="12"/>
  <c r="G82" i="12" s="1"/>
  <c r="F92" i="12"/>
  <c r="G92" i="12" s="1"/>
  <c r="F90" i="12"/>
  <c r="G90" i="12" s="1"/>
  <c r="F88" i="12"/>
  <c r="G88" i="12" s="1"/>
  <c r="F134" i="12"/>
  <c r="G134" i="12" s="1"/>
  <c r="F132" i="12"/>
  <c r="G132" i="12" s="1"/>
  <c r="F130" i="12"/>
  <c r="G130" i="12" s="1"/>
  <c r="F128" i="12"/>
  <c r="G128" i="12" s="1"/>
  <c r="F126" i="12"/>
  <c r="G126" i="12" s="1"/>
  <c r="F124" i="12"/>
  <c r="G124" i="12" s="1"/>
  <c r="F122" i="12"/>
  <c r="G122" i="12" s="1"/>
  <c r="F120" i="12"/>
  <c r="G120" i="12" s="1"/>
  <c r="F118" i="12"/>
  <c r="G118" i="12" s="1"/>
  <c r="F135" i="12"/>
  <c r="G135" i="12" s="1"/>
  <c r="F133" i="12"/>
  <c r="G133" i="12" s="1"/>
  <c r="F131" i="12"/>
  <c r="G131" i="12" s="1"/>
  <c r="F129" i="12"/>
  <c r="G129" i="12" s="1"/>
  <c r="F127" i="12"/>
  <c r="G127" i="12" s="1"/>
  <c r="F125" i="12"/>
  <c r="G125" i="12" s="1"/>
  <c r="F123" i="12"/>
  <c r="G123" i="12" s="1"/>
  <c r="F121" i="12"/>
  <c r="G121" i="12" s="1"/>
  <c r="F119" i="12"/>
  <c r="G119" i="12" s="1"/>
  <c r="F117" i="12"/>
  <c r="G117" i="12" s="1"/>
  <c r="D56" i="9"/>
  <c r="J33" i="9"/>
  <c r="C46" i="9"/>
  <c r="C47" i="9" s="1"/>
  <c r="A94" i="9"/>
  <c r="B93" i="9"/>
  <c r="C92" i="9"/>
  <c r="E92" i="9" s="1"/>
  <c r="D92" i="9"/>
  <c r="C114" i="9"/>
  <c r="J27" i="9"/>
  <c r="E113" i="9"/>
  <c r="E114" i="9"/>
  <c r="J35" i="9"/>
  <c r="J31" i="9"/>
  <c r="J29" i="9"/>
  <c r="D48" i="9"/>
  <c r="C113" i="9"/>
  <c r="C112" i="9"/>
  <c r="E112" i="9"/>
  <c r="B114" i="9"/>
  <c r="C54" i="9"/>
  <c r="F113" i="9"/>
  <c r="D113" i="9"/>
  <c r="F112" i="9"/>
  <c r="G112" i="9"/>
  <c r="G114" i="9"/>
  <c r="F114" i="9"/>
  <c r="C53" i="9"/>
  <c r="A58" i="9"/>
  <c r="G113" i="9"/>
  <c r="B112" i="9"/>
  <c r="D115" i="9" l="1"/>
  <c r="F115" i="9"/>
  <c r="E115" i="9"/>
  <c r="B115" i="9"/>
  <c r="C115" i="9"/>
  <c r="G115" i="9"/>
  <c r="C93" i="9"/>
  <c r="E93" i="9" s="1"/>
  <c r="D93" i="9"/>
  <c r="A95" i="9"/>
  <c r="B94" i="9"/>
  <c r="J45" i="9"/>
  <c r="D55" i="9"/>
  <c r="A96" i="9" l="1"/>
  <c r="B95" i="9"/>
  <c r="D116" i="9"/>
  <c r="F116" i="9"/>
  <c r="E116" i="9"/>
  <c r="C116" i="9"/>
  <c r="G116" i="9"/>
  <c r="B116" i="9"/>
  <c r="C94" i="9"/>
  <c r="E94" i="9" s="1"/>
  <c r="D94" i="9"/>
  <c r="B117" i="9" l="1"/>
  <c r="G117" i="9"/>
  <c r="C117" i="9"/>
  <c r="D117" i="9"/>
  <c r="F117" i="9"/>
  <c r="E117" i="9"/>
  <c r="C95" i="9"/>
  <c r="E95" i="9" s="1"/>
  <c r="D95" i="9"/>
  <c r="B96" i="9"/>
  <c r="A97" i="9"/>
  <c r="B118" i="9" l="1"/>
  <c r="E118" i="9"/>
  <c r="F118" i="9"/>
  <c r="D118" i="9"/>
  <c r="G118" i="9"/>
  <c r="C118" i="9"/>
  <c r="A98" i="9"/>
  <c r="B97" i="9"/>
  <c r="C96" i="9"/>
  <c r="E96" i="9" s="1"/>
  <c r="D96" i="9"/>
  <c r="C119" i="9" l="1"/>
  <c r="C97" i="9"/>
  <c r="E97" i="9" s="1"/>
  <c r="D97" i="9"/>
  <c r="A99" i="9"/>
  <c r="B98" i="9"/>
  <c r="E119" i="9"/>
  <c r="F119" i="9"/>
  <c r="B119" i="9"/>
  <c r="G119" i="9"/>
  <c r="D119" i="9"/>
  <c r="C120" i="9" l="1"/>
  <c r="C98" i="9"/>
  <c r="E98" i="9" s="1"/>
  <c r="D98" i="9"/>
  <c r="A100" i="9"/>
  <c r="B99" i="9"/>
  <c r="E120" i="9"/>
  <c r="G120" i="9"/>
  <c r="B120" i="9"/>
  <c r="D120" i="9"/>
  <c r="F120" i="9"/>
  <c r="D121" i="9" l="1"/>
  <c r="B100" i="9"/>
  <c r="A101" i="9"/>
  <c r="C99" i="9"/>
  <c r="E99" i="9" s="1"/>
  <c r="D99" i="9"/>
  <c r="E121" i="9"/>
  <c r="F121" i="9"/>
  <c r="G121" i="9"/>
  <c r="B121" i="9"/>
  <c r="C121" i="9"/>
  <c r="G122" i="9" l="1"/>
  <c r="B122" i="9"/>
  <c r="E122" i="9"/>
  <c r="F122" i="9"/>
  <c r="C122" i="9"/>
  <c r="D122" i="9"/>
  <c r="A102" i="9"/>
  <c r="B101" i="9"/>
  <c r="C100" i="9"/>
  <c r="E100" i="9" s="1"/>
  <c r="D100" i="9"/>
  <c r="G123" i="9" l="1"/>
  <c r="C101" i="9"/>
  <c r="E101" i="9" s="1"/>
  <c r="D101" i="9"/>
  <c r="A103" i="9"/>
  <c r="B102" i="9"/>
  <c r="C123" i="9"/>
  <c r="F123" i="9"/>
  <c r="B123" i="9"/>
  <c r="E123" i="9"/>
  <c r="D123" i="9"/>
  <c r="D124" i="9" l="1"/>
  <c r="C102" i="9"/>
  <c r="E102" i="9" s="1"/>
  <c r="D102" i="9"/>
  <c r="A104" i="9"/>
  <c r="B103" i="9"/>
  <c r="B124" i="9"/>
  <c r="G124" i="9"/>
  <c r="E124" i="9"/>
  <c r="F124" i="9"/>
  <c r="C124" i="9"/>
  <c r="G125" i="9" l="1"/>
  <c r="C103" i="9"/>
  <c r="E103" i="9" s="1"/>
  <c r="D103" i="9"/>
  <c r="B104" i="9"/>
  <c r="A105" i="9"/>
  <c r="D125" i="9"/>
  <c r="C125" i="9"/>
  <c r="F125" i="9"/>
  <c r="B125" i="9"/>
  <c r="E125" i="9"/>
  <c r="C104" i="9" l="1"/>
  <c r="E104" i="9" s="1"/>
  <c r="D104" i="9"/>
  <c r="A106" i="9"/>
  <c r="B105" i="9"/>
  <c r="D126" i="9"/>
  <c r="B126" i="9"/>
  <c r="G126" i="9"/>
  <c r="E126" i="9"/>
  <c r="C126" i="9"/>
  <c r="F126" i="9"/>
  <c r="C105" i="9" l="1"/>
  <c r="E105" i="9" s="1"/>
  <c r="D105" i="9"/>
  <c r="A107" i="9"/>
  <c r="B106" i="9"/>
  <c r="G127" i="9"/>
  <c r="B127" i="9"/>
  <c r="E127" i="9"/>
  <c r="F127" i="9"/>
  <c r="D127" i="9"/>
  <c r="C127" i="9"/>
  <c r="C106" i="9" l="1"/>
  <c r="E106" i="9" s="1"/>
  <c r="D106" i="9"/>
  <c r="A108" i="9"/>
  <c r="B108" i="9" s="1"/>
  <c r="B107" i="9"/>
  <c r="G128" i="9"/>
  <c r="B128" i="9"/>
  <c r="D128" i="9"/>
  <c r="F128" i="9"/>
  <c r="E128" i="9"/>
  <c r="C128" i="9"/>
  <c r="C129" i="9" l="1"/>
  <c r="C108" i="9"/>
  <c r="E108" i="9" s="1"/>
  <c r="D108" i="9"/>
  <c r="C107" i="9"/>
  <c r="E107" i="9" s="1"/>
  <c r="D107" i="9"/>
  <c r="B129" i="9"/>
  <c r="F129" i="9"/>
  <c r="D129" i="9"/>
  <c r="E129" i="9"/>
  <c r="G129" i="9"/>
  <c r="C131" i="9" l="1"/>
  <c r="G130" i="9"/>
  <c r="E130" i="9"/>
  <c r="B130" i="9"/>
  <c r="C130" i="9"/>
  <c r="F130" i="9"/>
  <c r="D130" i="9"/>
  <c r="D131" i="9"/>
  <c r="E131" i="9"/>
  <c r="B131" i="9"/>
  <c r="G131" i="9"/>
  <c r="F131" i="9"/>
</calcChain>
</file>

<file path=xl/comments1.xml><?xml version="1.0" encoding="utf-8"?>
<comments xmlns="http://schemas.openxmlformats.org/spreadsheetml/2006/main">
  <authors>
    <author>Bas Bokkers</author>
  </authors>
  <commentList>
    <comment ref="H5" authorId="0">
      <text>
        <r>
          <rPr>
            <b/>
            <sz val="8"/>
            <color indexed="81"/>
            <rFont val="Tahoma"/>
            <family val="2"/>
          </rPr>
          <t>provide "deterministic overall AF" in tox worksheet</t>
        </r>
      </text>
    </comment>
  </commentList>
</comments>
</file>

<file path=xl/sharedStrings.xml><?xml version="1.0" encoding="utf-8"?>
<sst xmlns="http://schemas.openxmlformats.org/spreadsheetml/2006/main" count="359" uniqueCount="251">
  <si>
    <t>P50</t>
  </si>
  <si>
    <t>P95/P50</t>
  </si>
  <si>
    <t>BMDL</t>
  </si>
  <si>
    <t>NOAEL</t>
  </si>
  <si>
    <t>Data type</t>
  </si>
  <si>
    <t>Continuous</t>
  </si>
  <si>
    <t>Interspecies scaling</t>
  </si>
  <si>
    <t>DataType</t>
  </si>
  <si>
    <t>PODType</t>
  </si>
  <si>
    <t>Case-specific</t>
  </si>
  <si>
    <t>Other aspect #1</t>
  </si>
  <si>
    <t>Other aspect #2</t>
  </si>
  <si>
    <t>Other aspect #3</t>
  </si>
  <si>
    <t>DataDuration</t>
  </si>
  <si>
    <t>DataSpecies</t>
  </si>
  <si>
    <t>Rat</t>
  </si>
  <si>
    <t>Mouse</t>
  </si>
  <si>
    <t>Data route</t>
  </si>
  <si>
    <t>DataRoute</t>
  </si>
  <si>
    <t>Oral</t>
  </si>
  <si>
    <t>Chronic</t>
  </si>
  <si>
    <t>Subchronic</t>
  </si>
  <si>
    <t>Subacute</t>
  </si>
  <si>
    <t>INPUTS</t>
  </si>
  <si>
    <t>5%, 1%, 0.1%, 0.01%</t>
  </si>
  <si>
    <t>STANDARD VALUE(S)</t>
  </si>
  <si>
    <t>RatBWDefault</t>
  </si>
  <si>
    <t>MouseBWDefault</t>
  </si>
  <si>
    <t>ContBMRDefault</t>
  </si>
  <si>
    <t>QuantDeterBMRDefault</t>
  </si>
  <si>
    <t>QuantStochBMRDefault</t>
  </si>
  <si>
    <t>HumanBWDefault</t>
  </si>
  <si>
    <t>AllomExponentMedian</t>
  </si>
  <si>
    <t>AllomExponentSD</t>
  </si>
  <si>
    <t>InterTKTDGSD</t>
  </si>
  <si>
    <t xml:space="preserve">     (Description here)</t>
  </si>
  <si>
    <t xml:space="preserve">     (Allometric for oral)</t>
  </si>
  <si>
    <t>Repro/Developmental</t>
  </si>
  <si>
    <t>PODUncertNOAEL</t>
  </si>
  <si>
    <t>InterTKTDMedian</t>
  </si>
  <si>
    <t>Calculated</t>
  </si>
  <si>
    <t>Intraspecies</t>
  </si>
  <si>
    <t>NOTES</t>
  </si>
  <si>
    <t>a</t>
  </si>
  <si>
    <t>b</t>
  </si>
  <si>
    <t>c</t>
  </si>
  <si>
    <t>d</t>
  </si>
  <si>
    <t>e</t>
  </si>
  <si>
    <t>f</t>
  </si>
  <si>
    <t>g</t>
  </si>
  <si>
    <t>NOTES:</t>
  </si>
  <si>
    <t>Parameter and value</t>
  </si>
  <si>
    <t>Description</t>
  </si>
  <si>
    <t>Assumed uncertainty in the BMD for a study that only has a LOAEL or NOAEL.</t>
  </si>
  <si>
    <t>Default body weight for humans, used in allometric scaling of oral doses.</t>
  </si>
  <si>
    <t>Default body weight for rats, used in allometric scaling of oral doses.</t>
  </si>
  <si>
    <t>Default body weight for mice, used in allometric scaling of oral doses.</t>
  </si>
  <si>
    <t>Median estimate of exponent using in allometric scaling by body weight.</t>
  </si>
  <si>
    <t>Median estimate of remaining chemical-specific TK and TD uncertainty after allometric scaling.</t>
  </si>
  <si>
    <t>Geometric standard deviation (GSD) of chemical-specific TK and TD uncertainty after allometric scaling.</t>
  </si>
  <si>
    <t>h</t>
  </si>
  <si>
    <t>Non-Prob.</t>
  </si>
  <si>
    <t>Study type</t>
  </si>
  <si>
    <t>Test species</t>
  </si>
  <si>
    <t>Fold Range of Uncertainty</t>
  </si>
  <si>
    <t>of the population will have</t>
  </si>
  <si>
    <t>NOAELUncertContReproDevMedian</t>
  </si>
  <si>
    <t>NOAELUncertContChrSubChrMedian</t>
  </si>
  <si>
    <t>NOAELUncertContChrSubChrGSD</t>
  </si>
  <si>
    <t>Calculated from inputs</t>
  </si>
  <si>
    <t>d - Uncertainty in NOAELs as surrogate for BMD.</t>
  </si>
  <si>
    <t>LCL</t>
  </si>
  <si>
    <t>UCL</t>
  </si>
  <si>
    <t>Probabilistic coverage goal</t>
  </si>
  <si>
    <t>confidence</t>
  </si>
  <si>
    <t>SubchronicChronicMedian</t>
  </si>
  <si>
    <t>SubchronicChronicGSD</t>
  </si>
  <si>
    <t>SubacuteChronicMedian</t>
  </si>
  <si>
    <t>SubacuteChronicGSD</t>
  </si>
  <si>
    <t>Uncertainty (median estimate) in using subchronic study as surrogate for chronic study.</t>
  </si>
  <si>
    <t>Uncertainty (GSD) in using subchronic study as surrogate for chronic study.</t>
  </si>
  <si>
    <t>Uncertainty (GSD) in using subacute study as surrogate for chronic study.</t>
  </si>
  <si>
    <t>Comments</t>
  </si>
  <si>
    <t>Approx. Prob.</t>
  </si>
  <si>
    <t>APPROXIMATE PROBABILISTIC ANALYSIS OUTPUTS</t>
  </si>
  <si>
    <t>NOAELUncertQuantalStochMedian</t>
  </si>
  <si>
    <t>NOAELUncertQuantalStochGSD</t>
  </si>
  <si>
    <t>NOAELUncertQuantalDeterMedian</t>
  </si>
  <si>
    <t>NOAELUncertQuantalDeterGSD</t>
  </si>
  <si>
    <t>Standard Confidence Interval</t>
  </si>
  <si>
    <t>LCL (P05)</t>
  </si>
  <si>
    <t>UCL (P95)</t>
  </si>
  <si>
    <t>g - Depends on population incidence protection goal.</t>
  </si>
  <si>
    <t>f - Accounts for case-specific deviation from the general interspecies scaling.</t>
  </si>
  <si>
    <t xml:space="preserve">e - Allometric scaling for oral dosing using user input body weights. </t>
  </si>
  <si>
    <t xml:space="preserve">      For BMD, assumes LCL=BMDL, UCL=BMDU.</t>
  </si>
  <si>
    <t>GENERAL APPROACH</t>
  </si>
  <si>
    <r>
      <rPr>
        <b/>
        <sz val="11"/>
        <color indexed="8"/>
        <rFont val="Calibri"/>
        <family val="2"/>
      </rPr>
      <t>Non-probabilistic analysis</t>
    </r>
    <r>
      <rPr>
        <sz val="11"/>
        <color theme="1"/>
        <rFont val="Calibri"/>
        <family val="2"/>
        <scheme val="minor"/>
      </rPr>
      <t xml:space="preserve"> multiplies together conservative or non-conservative confidence limits (P05 or P95) for each uncertainty.</t>
    </r>
  </si>
  <si>
    <r>
      <rPr>
        <b/>
        <sz val="11"/>
        <color indexed="8"/>
        <rFont val="Calibri"/>
        <family val="2"/>
      </rPr>
      <t>Approximate probabilistic (Approx. Prob.) analysis</t>
    </r>
    <r>
      <rPr>
        <sz val="11"/>
        <color theme="1"/>
        <rFont val="Calibri"/>
        <family val="2"/>
        <scheme val="minor"/>
      </rPr>
      <t xml:space="preserve"> combines uncertainties probabilistically assuming independent lognormal distributions.</t>
    </r>
  </si>
  <si>
    <t>HAZARD CHARACTERIZATION ASPECT</t>
  </si>
  <si>
    <t>DESCRIPTION</t>
  </si>
  <si>
    <t>i</t>
  </si>
  <si>
    <t>j - Non-probabilistic LCL = LCL on POD / Product of UCLs of Each Aspect.</t>
  </si>
  <si>
    <t>k - Non-probabilistic UCL = UCL on POD / Product of LCLs of Each Aspect.</t>
  </si>
  <si>
    <t>Defines Lower Confidence Limit (LCL) = P05; Upper Confidence Limit (UCL) = P95. Given P50 and P95/P50, assumes P05 = P50/(P95/P50).  Given P05 and P95, assumes P50=sqrt(P05*P95).</t>
  </si>
  <si>
    <t>NOAELUncertContReproDevGSD</t>
  </si>
  <si>
    <t>ASPECT</t>
  </si>
  <si>
    <t>NOAEL to BMD</t>
  </si>
  <si>
    <t>*Based on approximate probabilistic analysis, below.</t>
  </si>
  <si>
    <t>TITLE:</t>
  </si>
  <si>
    <t>USER NOTES:</t>
  </si>
  <si>
    <t>[User can enter any notes here]</t>
  </si>
  <si>
    <t>Inhalation</t>
  </si>
  <si>
    <t>Dermal</t>
  </si>
  <si>
    <t xml:space="preserve">      User must supply for inhalation or dermal.</t>
  </si>
  <si>
    <t>Coverage</t>
  </si>
  <si>
    <t>Intra P50</t>
  </si>
  <si>
    <t>[log(P95/P50)]^2</t>
  </si>
  <si>
    <t>% contribution</t>
  </si>
  <si>
    <t>to overall uncertainty</t>
  </si>
  <si>
    <t>Greatest contributor</t>
  </si>
  <si>
    <t>(decending order)</t>
  </si>
  <si>
    <t>Degree of Uncertainty (Fold Range)</t>
  </si>
  <si>
    <t>INPUTS RELATED TO GRAPHICAL DISPLAY</t>
  </si>
  <si>
    <t>INTERMEDIATE CALCULATIONS FOR GRAPHICAL DISPLAY</t>
  </si>
  <si>
    <t>Deterministic RfD</t>
  </si>
  <si>
    <t>Estimated "Coverage" of Deterministic RfD</t>
  </si>
  <si>
    <t>COMMON VALUE(S)</t>
  </si>
  <si>
    <t>PROVISIONAL VALUE(S)</t>
  </si>
  <si>
    <t>INTERMEDIATE CALCULATIONS FOR UNCERTAINTY ANALYSES</t>
  </si>
  <si>
    <t>Coverage percentages shown</t>
  </si>
  <si>
    <t>UCL/P50</t>
  </si>
  <si>
    <t>Table 4.6</t>
  </si>
  <si>
    <t>LogGSDHMedian</t>
  </si>
  <si>
    <t>LogGSDHGSDU</t>
  </si>
  <si>
    <t>Intra P95/P50</t>
  </si>
  <si>
    <t>Interspecies TK/TD</t>
  </si>
  <si>
    <t>End-point</t>
  </si>
  <si>
    <t>INPUTS RELATED TO STUDY, END-POINT AND PROTECTION GOALS</t>
  </si>
  <si>
    <t>INPUTS RELATED TO ADJUSTMENT, VARIABILITY AND UNCERTAINTY</t>
  </si>
  <si>
    <r>
      <t>Target Human Dose (HD</t>
    </r>
    <r>
      <rPr>
        <b/>
        <vertAlign val="subscript"/>
        <sz val="11"/>
        <color indexed="8"/>
        <rFont val="Calibri"/>
        <family val="2"/>
      </rPr>
      <t>M</t>
    </r>
    <r>
      <rPr>
        <b/>
        <vertAlign val="superscript"/>
        <sz val="11"/>
        <color indexed="8"/>
        <rFont val="Calibri"/>
        <family val="2"/>
      </rPr>
      <t>I</t>
    </r>
    <r>
      <rPr>
        <b/>
        <sz val="11"/>
        <color indexed="8"/>
        <rFont val="Calibri"/>
        <family val="2"/>
      </rPr>
      <t>)</t>
    </r>
  </si>
  <si>
    <r>
      <t>Estimated "Coverage" of Non-Prob. LCL of HD</t>
    </r>
    <r>
      <rPr>
        <b/>
        <vertAlign val="subscript"/>
        <sz val="11"/>
        <color indexed="8"/>
        <rFont val="Calibri"/>
        <family val="2"/>
      </rPr>
      <t>M</t>
    </r>
    <r>
      <rPr>
        <b/>
        <vertAlign val="superscript"/>
        <sz val="11"/>
        <color indexed="8"/>
        <rFont val="Calibri"/>
        <family val="2"/>
      </rPr>
      <t>I</t>
    </r>
    <r>
      <rPr>
        <b/>
        <sz val="11"/>
        <color indexed="8"/>
        <rFont val="Calibri"/>
        <family val="2"/>
      </rPr>
      <t>*</t>
    </r>
  </si>
  <si>
    <r>
      <t>HD</t>
    </r>
    <r>
      <rPr>
        <b/>
        <vertAlign val="subscript"/>
        <sz val="11"/>
        <color indexed="8"/>
        <rFont val="Calibri"/>
        <family val="2"/>
      </rPr>
      <t>M</t>
    </r>
    <r>
      <rPr>
        <b/>
        <vertAlign val="superscript"/>
        <sz val="11"/>
        <color indexed="8"/>
        <rFont val="Calibri"/>
        <family val="2"/>
      </rPr>
      <t>I</t>
    </r>
    <r>
      <rPr>
        <b/>
        <sz val="11"/>
        <color indexed="8"/>
        <rFont val="Calibri"/>
        <family val="2"/>
      </rPr>
      <t xml:space="preserve"> P50</t>
    </r>
  </si>
  <si>
    <t>User supplied</t>
  </si>
  <si>
    <t>PoD units</t>
  </si>
  <si>
    <t>PoD type</t>
  </si>
  <si>
    <t>PoD value</t>
  </si>
  <si>
    <t>Deterministic overall AF</t>
  </si>
  <si>
    <t>PoD</t>
  </si>
  <si>
    <t>Duration extrapolation</t>
  </si>
  <si>
    <t xml:space="preserve">Probabilistic RfD  </t>
  </si>
  <si>
    <t>Standard deviation of estimate of exponent using in allometric scaling by body weight (based on 95% CI of 0.66-0.74)</t>
  </si>
  <si>
    <r>
      <t>Median estimate of the Log(GSD</t>
    </r>
    <r>
      <rPr>
        <vertAlign val="subscript"/>
        <sz val="11"/>
        <color indexed="8"/>
        <rFont val="Calibri"/>
        <family val="2"/>
      </rPr>
      <t>H</t>
    </r>
    <r>
      <rPr>
        <sz val="11"/>
        <color theme="1"/>
        <rFont val="Calibri"/>
        <family val="2"/>
        <scheme val="minor"/>
      </rPr>
      <t>) for human variability.</t>
    </r>
  </si>
  <si>
    <r>
      <t>GSD</t>
    </r>
    <r>
      <rPr>
        <vertAlign val="subscript"/>
        <sz val="11"/>
        <color indexed="8"/>
        <rFont val="Calibri"/>
        <family val="2"/>
      </rPr>
      <t>U</t>
    </r>
    <r>
      <rPr>
        <sz val="11"/>
        <color theme="1"/>
        <rFont val="Calibri"/>
        <family val="2"/>
        <scheme val="minor"/>
      </rPr>
      <t xml:space="preserve"> of the Log(GSD</t>
    </r>
    <r>
      <rPr>
        <vertAlign val="subscript"/>
        <sz val="11"/>
        <color indexed="8"/>
        <rFont val="Calibri"/>
        <family val="2"/>
      </rPr>
      <t>H</t>
    </r>
    <r>
      <rPr>
        <sz val="11"/>
        <color theme="1"/>
        <rFont val="Calibri"/>
        <family val="2"/>
        <scheme val="minor"/>
      </rPr>
      <t>) for human variability = (P95/P50)^(1/1.645).</t>
    </r>
  </si>
  <si>
    <t>Uncertainty (median estimate) in using subacute study as surrogate for chronic study.</t>
  </si>
  <si>
    <r>
      <t xml:space="preserve">NON-PROBABILISTIC ANALYSIS OUTPUTS </t>
    </r>
    <r>
      <rPr>
        <b/>
        <vertAlign val="superscript"/>
        <sz val="11"/>
        <color indexed="8"/>
        <rFont val="Calibri"/>
        <family val="2"/>
      </rPr>
      <t>j,k</t>
    </r>
  </si>
  <si>
    <r>
      <t>= Approximate probabilistic HD</t>
    </r>
    <r>
      <rPr>
        <vertAlign val="subscript"/>
        <sz val="11"/>
        <color indexed="8"/>
        <rFont val="Calibri"/>
        <family val="2"/>
      </rPr>
      <t>M</t>
    </r>
    <r>
      <rPr>
        <vertAlign val="superscript"/>
        <sz val="11"/>
        <color indexed="8"/>
        <rFont val="Calibri"/>
        <family val="2"/>
      </rPr>
      <t>I</t>
    </r>
    <r>
      <rPr>
        <sz val="11"/>
        <color theme="1"/>
        <rFont val="Calibri"/>
        <family val="2"/>
        <scheme val="minor"/>
      </rPr>
      <t xml:space="preserve"> at specified % confidence</t>
    </r>
  </si>
  <si>
    <r>
      <t xml:space="preserve">      For deterministic quantal effects, also includes adjustment from NOAEL to ED</t>
    </r>
    <r>
      <rPr>
        <vertAlign val="subscript"/>
        <sz val="11"/>
        <color indexed="8"/>
        <rFont val="Calibri"/>
        <family val="2"/>
      </rPr>
      <t>50</t>
    </r>
    <r>
      <rPr>
        <sz val="11"/>
        <color theme="1"/>
        <rFont val="Calibri"/>
        <family val="2"/>
        <scheme val="minor"/>
      </rPr>
      <t>.</t>
    </r>
  </si>
  <si>
    <r>
      <t xml:space="preserve">     =10^(NORMSINV(1-C13) * Log(GSD</t>
    </r>
    <r>
      <rPr>
        <vertAlign val="subscript"/>
        <sz val="11"/>
        <color indexed="8"/>
        <rFont val="Calibri"/>
        <family val="2"/>
      </rPr>
      <t>H</t>
    </r>
    <r>
      <rPr>
        <sz val="11"/>
        <color theme="1"/>
        <rFont val="Calibri"/>
        <family val="2"/>
        <scheme val="minor"/>
      </rPr>
      <t>)], where cell C13 contains the population incidence protection goal.</t>
    </r>
  </si>
  <si>
    <r>
      <t>h - For user defined value, specify LCL and UCL on Log(GSD</t>
    </r>
    <r>
      <rPr>
        <vertAlign val="subscript"/>
        <sz val="11"/>
        <color indexed="8"/>
        <rFont val="Calibri"/>
        <family val="2"/>
      </rPr>
      <t>H</t>
    </r>
    <r>
      <rPr>
        <sz val="11"/>
        <color theme="1"/>
        <rFont val="Calibri"/>
        <family val="2"/>
        <scheme val="minor"/>
      </rPr>
      <t>), then calculate the Intraspecies LCL and UCL</t>
    </r>
  </si>
  <si>
    <t>Exposure estimate (optional)</t>
  </si>
  <si>
    <t>Quantal-deterministic</t>
  </si>
  <si>
    <t>Quantal-stochastic</t>
  </si>
  <si>
    <t xml:space="preserve">     (Modelled BMD uncertainty)</t>
  </si>
  <si>
    <t xml:space="preserve">     (Remaining TK &amp; TD)</t>
  </si>
  <si>
    <r>
      <t>BMDU</t>
    </r>
    <r>
      <rPr>
        <sz val="11"/>
        <color indexed="8"/>
        <rFont val="Calibri"/>
        <family val="2"/>
      </rPr>
      <t xml:space="preserve"> (User input for BMDL PoDs)</t>
    </r>
  </si>
  <si>
    <r>
      <t xml:space="preserve">Target BMR </t>
    </r>
    <r>
      <rPr>
        <sz val="11"/>
        <color indexed="8"/>
        <rFont val="Calibri"/>
        <family val="2"/>
      </rPr>
      <t xml:space="preserve">
(= </t>
    </r>
    <r>
      <rPr>
        <i/>
        <sz val="11"/>
        <color indexed="8"/>
        <rFont val="Calibri"/>
        <family val="2"/>
      </rPr>
      <t>M</t>
    </r>
    <r>
      <rPr>
        <sz val="11"/>
        <color indexed="8"/>
        <rFont val="Calibri"/>
        <family val="2"/>
      </rPr>
      <t>, user input for BMDLs only)</t>
    </r>
  </si>
  <si>
    <r>
      <t>Body weight test species</t>
    </r>
    <r>
      <rPr>
        <sz val="11"/>
        <color indexed="8"/>
        <rFont val="Calibri"/>
        <family val="2"/>
      </rPr>
      <t xml:space="preserve"> (kg)</t>
    </r>
  </si>
  <si>
    <r>
      <t>Human median body weight</t>
    </r>
    <r>
      <rPr>
        <sz val="11"/>
        <color indexed="8"/>
        <rFont val="Calibri"/>
        <family val="2"/>
      </rPr>
      <t xml:space="preserve"> (kg)</t>
    </r>
  </si>
  <si>
    <r>
      <t>Population incidence goal</t>
    </r>
    <r>
      <rPr>
        <sz val="11"/>
        <color indexed="8"/>
        <rFont val="Calibri"/>
        <family val="2"/>
      </rPr>
      <t xml:space="preserve"> (= </t>
    </r>
    <r>
      <rPr>
        <i/>
        <sz val="11"/>
        <color indexed="8"/>
        <rFont val="Calibri"/>
        <family val="2"/>
      </rPr>
      <t>I</t>
    </r>
    <r>
      <rPr>
        <sz val="11"/>
        <color indexed="8"/>
        <rFont val="Calibri"/>
        <family val="2"/>
      </rPr>
      <t>)</t>
    </r>
  </si>
  <si>
    <r>
      <t>Minimum incidence (</t>
    </r>
    <r>
      <rPr>
        <b/>
        <i/>
        <sz val="11"/>
        <color indexed="8"/>
        <rFont val="Calibri"/>
        <family val="2"/>
      </rPr>
      <t>I</t>
    </r>
    <r>
      <rPr>
        <b/>
        <sz val="11"/>
        <color indexed="8"/>
        <rFont val="Calibri"/>
        <family val="2"/>
      </rPr>
      <t>) shown</t>
    </r>
  </si>
  <si>
    <r>
      <t>Incidence (</t>
    </r>
    <r>
      <rPr>
        <b/>
        <i/>
        <sz val="11"/>
        <color indexed="8"/>
        <rFont val="Calibri"/>
        <family val="2"/>
      </rPr>
      <t>I</t>
    </r>
    <r>
      <rPr>
        <b/>
        <sz val="11"/>
        <color indexed="8"/>
        <rFont val="Calibri"/>
        <family val="2"/>
      </rPr>
      <t>)</t>
    </r>
  </si>
  <si>
    <t>Default benchmark response level for continuous end-points.</t>
  </si>
  <si>
    <t>Default benchmark response level for deterministic quantal end-points.</t>
  </si>
  <si>
    <t>Default benchmark response level for stochastic quantal end-points.</t>
  </si>
  <si>
    <r>
      <t>Uncertainty (median estimate) in using NOAEL as a surrogate for the ED</t>
    </r>
    <r>
      <rPr>
        <vertAlign val="subscript"/>
        <sz val="11"/>
        <color indexed="8"/>
        <rFont val="Calibri"/>
        <family val="2"/>
      </rPr>
      <t>50</t>
    </r>
    <r>
      <rPr>
        <sz val="11"/>
        <color theme="1"/>
        <rFont val="Calibri"/>
        <family val="2"/>
        <scheme val="minor"/>
      </rPr>
      <t xml:space="preserve"> for "deterministic" quantal end-points.</t>
    </r>
  </si>
  <si>
    <r>
      <t>Uncertainty (GSD) in using NOAEL as a surrogate for the ED</t>
    </r>
    <r>
      <rPr>
        <vertAlign val="subscript"/>
        <sz val="11"/>
        <color indexed="8"/>
        <rFont val="Calibri"/>
        <family val="2"/>
      </rPr>
      <t>50</t>
    </r>
    <r>
      <rPr>
        <sz val="11"/>
        <color theme="1"/>
        <rFont val="Calibri"/>
        <family val="2"/>
        <scheme val="minor"/>
      </rPr>
      <t xml:space="preserve"> for "deterministic" quantal end-points.</t>
    </r>
  </si>
  <si>
    <r>
      <t>Uncertainty (median estimate) in using NOAEL as a surrogate for the BMD</t>
    </r>
    <r>
      <rPr>
        <vertAlign val="subscript"/>
        <sz val="11"/>
        <color indexed="8"/>
        <rFont val="Calibri"/>
        <family val="2"/>
      </rPr>
      <t>10</t>
    </r>
    <r>
      <rPr>
        <sz val="11"/>
        <color theme="1"/>
        <rFont val="Calibri"/>
        <family val="2"/>
        <scheme val="minor"/>
      </rPr>
      <t xml:space="preserve"> for "stochastic" quantal end-points.</t>
    </r>
  </si>
  <si>
    <r>
      <t>Uncertainty (GSD) in using NOAEL as a surrogate for the BMD</t>
    </r>
    <r>
      <rPr>
        <vertAlign val="subscript"/>
        <sz val="11"/>
        <color indexed="8"/>
        <rFont val="Calibri"/>
        <family val="2"/>
      </rPr>
      <t>10</t>
    </r>
    <r>
      <rPr>
        <sz val="11"/>
        <color theme="1"/>
        <rFont val="Calibri"/>
        <family val="2"/>
        <scheme val="minor"/>
      </rPr>
      <t xml:space="preserve"> for "stochastic" quantal end-points.</t>
    </r>
  </si>
  <si>
    <t>Uncertainty (median estimate) in using NOAEL as a surrogate for the BMD for continuous chronic or subchronic end-points.</t>
  </si>
  <si>
    <t>Uncertainty (GSD) in using NOAEL as a surrogate for the BMD for continuous chronic or subchronic end-points.</t>
  </si>
  <si>
    <t>Uncertainty (median estimate) in using NOAEL as a surrogate for the BMD for continuous repro/developmental end-points.</t>
  </si>
  <si>
    <t>Uncertainty (GSD) in using NOAEL as a surrogate for the BMD for continuous repro/developmental end-points.</t>
  </si>
  <si>
    <t>[e.g. Decreased fetal bw]</t>
  </si>
  <si>
    <r>
      <t>Maximum incidence (</t>
    </r>
    <r>
      <rPr>
        <b/>
        <i/>
        <sz val="11"/>
        <color indexed="8"/>
        <rFont val="Calibri"/>
        <family val="2"/>
      </rPr>
      <t>I</t>
    </r>
    <r>
      <rPr>
        <b/>
        <sz val="11"/>
        <color indexed="8"/>
        <rFont val="Calibri"/>
        <family val="2"/>
      </rPr>
      <t>) shown</t>
    </r>
  </si>
  <si>
    <t>LOAEL</t>
  </si>
  <si>
    <t>Dog</t>
  </si>
  <si>
    <t>Rabbit</t>
  </si>
  <si>
    <t>DogBWDefault</t>
  </si>
  <si>
    <t>RabbitBWDefault</t>
  </si>
  <si>
    <t>Default body weight for dogs, used in allometric scaling of oral doses.</t>
  </si>
  <si>
    <t>Default body weight for rabbits, used in allometric scaling of oral doses.</t>
  </si>
  <si>
    <t>a - Automatically adjusts for mice, rats, dogs, and rabbits.</t>
  </si>
  <si>
    <t>c - For NOAEL/LOAEL, PoD is fixed.</t>
  </si>
  <si>
    <t>i - Can add other extrapolation aspects (e.g., LOAEL-to-NOAEL), as long as P05 and P95 are specified.</t>
  </si>
  <si>
    <t>b - For NOAEL/LOAEL, is 5% if continuous and 10% if quantal-stochastic and 50% if quantal-deterministic</t>
  </si>
  <si>
    <t xml:space="preserve">      User input is ignored if NOAEL/LOAEL or quantal-deterministic. Otherwise user inputs BMR used for BMDL.</t>
  </si>
  <si>
    <t xml:space="preserve">     (NOAEL or LOAEL only)</t>
  </si>
  <si>
    <t>INPUTS RELATED TO EXPOSURE</t>
  </si>
  <si>
    <t>enter available expo values, leave others empty</t>
  </si>
  <si>
    <t>Exposure unit:</t>
  </si>
  <si>
    <t>ppm</t>
  </si>
  <si>
    <t>reported exposure</t>
  </si>
  <si>
    <t>expert opinion on limits</t>
  </si>
  <si>
    <t xml:space="preserve">deterministic </t>
  </si>
  <si>
    <t>INPUTS*</t>
  </si>
  <si>
    <t>extra LCL</t>
  </si>
  <si>
    <t>extra UCL</t>
  </si>
  <si>
    <t>exposure</t>
  </si>
  <si>
    <t>exposure #1</t>
  </si>
  <si>
    <t>some name1</t>
  </si>
  <si>
    <t>exposure #2</t>
  </si>
  <si>
    <t>some name2</t>
  </si>
  <si>
    <t>exposure #3</t>
  </si>
  <si>
    <t>exposure #4</t>
  </si>
  <si>
    <t xml:space="preserve">* labels for exposure are required; a percentile or text: e.g. mean, average, high </t>
  </si>
  <si>
    <t>* The limits of the x-axis and y-axis can be adjusted manually.</t>
  </si>
  <si>
    <t xml:space="preserve">However, for a correct plot it is necessary that both axes have the same limits. </t>
  </si>
  <si>
    <t xml:space="preserve">* The size of the (lower) legend box can be adjusted to hide obsolete legends </t>
  </si>
  <si>
    <t>INPUT FOR GRAPHICAL DISPLAY</t>
  </si>
  <si>
    <t>labels</t>
  </si>
  <si>
    <t>title</t>
  </si>
  <si>
    <t>incidence goal</t>
  </si>
  <si>
    <t>intrap50</t>
  </si>
  <si>
    <t>intraP95</t>
  </si>
  <si>
    <t>log10 p50</t>
  </si>
  <si>
    <t>p50</t>
  </si>
  <si>
    <t>p95/p50</t>
  </si>
  <si>
    <t>log10 p05</t>
  </si>
  <si>
    <t>log10 p95</t>
  </si>
  <si>
    <t>expo percentile</t>
  </si>
  <si>
    <t>LCLorg</t>
  </si>
  <si>
    <t>UCLorg</t>
  </si>
  <si>
    <t>extraLCL</t>
  </si>
  <si>
    <t>extraUCL</t>
  </si>
  <si>
    <t>legend</t>
  </si>
  <si>
    <t>det expo</t>
  </si>
  <si>
    <t>det RfD</t>
  </si>
  <si>
    <t>elipse for:</t>
  </si>
  <si>
    <t xml:space="preserve">elipse for: </t>
  </si>
  <si>
    <t>CLs on expo</t>
  </si>
  <si>
    <t>CLs on HD</t>
  </si>
  <si>
    <t>degrees</t>
  </si>
  <si>
    <t>x_elipse</t>
  </si>
  <si>
    <t>y_elipse</t>
  </si>
  <si>
    <t>x_minus_y</t>
  </si>
  <si>
    <t>1st quadrant</t>
  </si>
  <si>
    <t>4th</t>
  </si>
  <si>
    <t>3th</t>
  </si>
  <si>
    <t>2nd</t>
  </si>
  <si>
    <t>[User-defined title]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</si>
</sst>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000"/>
    <numFmt numFmtId="165" formatCode="0.000"/>
    <numFmt numFmtId="166" formatCode="0.0%"/>
    <numFmt numFmtId="167" formatCode="0.0"/>
    <numFmt numFmtId="168" formatCode="#,##0.000"/>
    <numFmt numFmtId="169" formatCode="0.0000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8"/>
      <name val="Calibri"/>
      <family val="2"/>
    </font>
    <font>
      <vertAlign val="subscript"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78">
    <xf numFmtId="0" fontId="0" fillId="0" borderId="0" xfId="0"/>
    <xf numFmtId="0" fontId="3" fillId="0" borderId="0" xfId="0" applyFont="1"/>
    <xf numFmtId="0" fontId="0" fillId="0" borderId="0" xfId="0" applyFont="1"/>
    <xf numFmtId="2" fontId="0" fillId="0" borderId="0" xfId="0" applyNumberFormat="1"/>
    <xf numFmtId="2" fontId="0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9" fontId="3" fillId="2" borderId="1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right" wrapText="1"/>
    </xf>
    <xf numFmtId="0" fontId="3" fillId="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1" applyNumberFormat="1" applyFont="1" applyBorder="1" applyAlignment="1">
      <alignment horizontal="center" wrapText="1"/>
    </xf>
    <xf numFmtId="9" fontId="0" fillId="0" borderId="10" xfId="1" applyFont="1" applyBorder="1" applyAlignment="1">
      <alignment horizontal="center" wrapText="1"/>
    </xf>
    <xf numFmtId="9" fontId="0" fillId="0" borderId="0" xfId="1" applyFont="1" applyAlignment="1">
      <alignment horizontal="left" wrapText="1"/>
    </xf>
    <xf numFmtId="9" fontId="0" fillId="3" borderId="0" xfId="1" applyFont="1" applyFill="1" applyBorder="1" applyAlignment="1" applyProtection="1">
      <alignment horizontal="center" wrapText="1"/>
      <protection locked="0"/>
    </xf>
    <xf numFmtId="9" fontId="0" fillId="0" borderId="0" xfId="1" applyFont="1" applyBorder="1" applyAlignment="1">
      <alignment horizontal="center" wrapText="1"/>
    </xf>
    <xf numFmtId="9" fontId="0" fillId="0" borderId="0" xfId="0" applyNumberFormat="1" applyBorder="1" applyAlignment="1">
      <alignment horizontal="center" wrapText="1"/>
    </xf>
    <xf numFmtId="9" fontId="0" fillId="0" borderId="10" xfId="0" applyNumberFormat="1" applyBorder="1" applyAlignment="1">
      <alignment horizontal="center" wrapText="1"/>
    </xf>
    <xf numFmtId="0" fontId="3" fillId="0" borderId="11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5" fillId="0" borderId="0" xfId="0" applyFont="1" applyFill="1" applyAlignment="1">
      <alignment horizontal="left" wrapText="1"/>
    </xf>
    <xf numFmtId="0" fontId="0" fillId="0" borderId="4" xfId="0" applyBorder="1" applyAlignment="1">
      <alignment horizontal="right" wrapText="1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0" fillId="2" borderId="5" xfId="0" applyFill="1" applyBorder="1" applyAlignment="1">
      <alignment horizontal="center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9" fontId="4" fillId="2" borderId="15" xfId="1" applyFont="1" applyFill="1" applyBorder="1" applyAlignment="1">
      <alignment horizontal="left" wrapText="1"/>
    </xf>
    <xf numFmtId="2" fontId="5" fillId="2" borderId="15" xfId="0" applyNumberFormat="1" applyFont="1" applyFill="1" applyBorder="1" applyAlignment="1">
      <alignment horizontal="center" wrapText="1"/>
    </xf>
    <xf numFmtId="0" fontId="5" fillId="2" borderId="16" xfId="0" applyFont="1" applyFill="1" applyBorder="1" applyAlignment="1">
      <alignment wrapText="1"/>
    </xf>
    <xf numFmtId="0" fontId="0" fillId="2" borderId="17" xfId="0" applyFill="1" applyBorder="1" applyAlignment="1">
      <alignment horizontal="left" wrapText="1"/>
    </xf>
    <xf numFmtId="0" fontId="4" fillId="2" borderId="18" xfId="0" applyFont="1" applyFill="1" applyBorder="1" applyAlignment="1">
      <alignment horizontal="left" wrapText="1"/>
    </xf>
    <xf numFmtId="2" fontId="5" fillId="2" borderId="18" xfId="0" applyNumberFormat="1" applyFont="1" applyFill="1" applyBorder="1" applyAlignment="1">
      <alignment horizontal="center" wrapText="1"/>
    </xf>
    <xf numFmtId="165" fontId="5" fillId="2" borderId="1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left" wrapText="1"/>
    </xf>
    <xf numFmtId="0" fontId="5" fillId="2" borderId="21" xfId="0" applyFont="1" applyFill="1" applyBorder="1" applyAlignment="1">
      <alignment horizontal="center" wrapText="1"/>
    </xf>
    <xf numFmtId="2" fontId="0" fillId="3" borderId="0" xfId="0" applyNumberFormat="1" applyFill="1" applyBorder="1" applyAlignment="1" applyProtection="1">
      <alignment horizontal="center" wrapText="1"/>
      <protection locked="0"/>
    </xf>
    <xf numFmtId="2" fontId="0" fillId="0" borderId="0" xfId="0" applyNumberFormat="1" applyBorder="1" applyAlignment="1">
      <alignment horizontal="center" wrapText="1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3" borderId="2" xfId="0" applyFill="1" applyBorder="1" applyAlignment="1" applyProtection="1">
      <alignment horizontal="left" wrapText="1"/>
      <protection locked="0"/>
    </xf>
    <xf numFmtId="0" fontId="0" fillId="3" borderId="3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2" fontId="5" fillId="2" borderId="0" xfId="0" applyNumberFormat="1" applyFont="1" applyFill="1" applyBorder="1" applyAlignment="1">
      <alignment horizontal="center" wrapText="1"/>
    </xf>
    <xf numFmtId="165" fontId="5" fillId="2" borderId="16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 wrapText="1"/>
    </xf>
    <xf numFmtId="0" fontId="0" fillId="2" borderId="22" xfId="0" applyFill="1" applyBorder="1" applyAlignment="1">
      <alignment horizontal="left" wrapText="1"/>
    </xf>
    <xf numFmtId="9" fontId="4" fillId="2" borderId="23" xfId="1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left" wrapText="1"/>
    </xf>
    <xf numFmtId="0" fontId="3" fillId="4" borderId="22" xfId="0" applyFont="1" applyFill="1" applyBorder="1" applyAlignment="1">
      <alignment horizontal="left" wrapText="1"/>
    </xf>
    <xf numFmtId="0" fontId="3" fillId="4" borderId="23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wrapText="1"/>
    </xf>
    <xf numFmtId="9" fontId="4" fillId="2" borderId="0" xfId="1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 wrapText="1"/>
    </xf>
    <xf numFmtId="0" fontId="0" fillId="2" borderId="3" xfId="0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wrapText="1"/>
    </xf>
    <xf numFmtId="0" fontId="3" fillId="4" borderId="17" xfId="0" applyFont="1" applyFill="1" applyBorder="1" applyAlignment="1">
      <alignment horizontal="left" wrapText="1"/>
    </xf>
    <xf numFmtId="0" fontId="3" fillId="4" borderId="18" xfId="0" applyFont="1" applyFill="1" applyBorder="1" applyAlignment="1">
      <alignment horizontal="right" wrapText="1"/>
    </xf>
    <xf numFmtId="0" fontId="3" fillId="4" borderId="20" xfId="0" applyFont="1" applyFill="1" applyBorder="1" applyAlignment="1">
      <alignment horizontal="left" wrapText="1"/>
    </xf>
    <xf numFmtId="0" fontId="0" fillId="4" borderId="10" xfId="0" applyFill="1" applyBorder="1" applyAlignment="1">
      <alignment horizontal="center" wrapText="1"/>
    </xf>
    <xf numFmtId="166" fontId="3" fillId="4" borderId="12" xfId="1" applyNumberFormat="1" applyFont="1" applyFill="1" applyBorder="1" applyAlignment="1">
      <alignment wrapText="1"/>
    </xf>
    <xf numFmtId="0" fontId="3" fillId="5" borderId="22" xfId="0" applyFont="1" applyFill="1" applyBorder="1" applyAlignment="1">
      <alignment horizontal="left" wrapText="1"/>
    </xf>
    <xf numFmtId="0" fontId="0" fillId="5" borderId="23" xfId="0" applyFill="1" applyBorder="1" applyAlignment="1">
      <alignment horizontal="center" wrapText="1"/>
    </xf>
    <xf numFmtId="0" fontId="3" fillId="5" borderId="23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right" wrapText="1"/>
    </xf>
    <xf numFmtId="0" fontId="3" fillId="5" borderId="10" xfId="0" quotePrefix="1" applyFont="1" applyFill="1" applyBorder="1" applyAlignment="1">
      <alignment wrapText="1"/>
    </xf>
    <xf numFmtId="0" fontId="3" fillId="5" borderId="17" xfId="0" applyFont="1" applyFill="1" applyBorder="1" applyAlignment="1">
      <alignment horizontal="left" wrapText="1"/>
    </xf>
    <xf numFmtId="0" fontId="3" fillId="5" borderId="18" xfId="0" applyFont="1" applyFill="1" applyBorder="1" applyAlignment="1">
      <alignment horizontal="right" wrapText="1"/>
    </xf>
    <xf numFmtId="0" fontId="3" fillId="5" borderId="20" xfId="0" applyFont="1" applyFill="1" applyBorder="1" applyAlignment="1">
      <alignment horizontal="left" wrapText="1"/>
    </xf>
    <xf numFmtId="0" fontId="3" fillId="6" borderId="4" xfId="0" applyFont="1" applyFill="1" applyBorder="1" applyAlignment="1">
      <alignment horizontal="center" wrapText="1"/>
    </xf>
    <xf numFmtId="166" fontId="3" fillId="6" borderId="12" xfId="1" applyNumberFormat="1" applyFont="1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5" borderId="2" xfId="0" applyFill="1" applyBorder="1" applyAlignment="1">
      <alignment horizontal="left" wrapText="1"/>
    </xf>
    <xf numFmtId="0" fontId="0" fillId="5" borderId="0" xfId="0" applyFill="1" applyBorder="1" applyAlignment="1">
      <alignment horizontal="left" wrapText="1"/>
    </xf>
    <xf numFmtId="0" fontId="3" fillId="5" borderId="2" xfId="0" applyFont="1" applyFill="1" applyBorder="1" applyAlignment="1">
      <alignment horizontal="right" wrapText="1"/>
    </xf>
    <xf numFmtId="0" fontId="7" fillId="0" borderId="0" xfId="0" applyFont="1" applyAlignment="1">
      <alignment horizontal="left" wrapText="1"/>
    </xf>
    <xf numFmtId="10" fontId="0" fillId="3" borderId="0" xfId="1" applyNumberFormat="1" applyFont="1" applyFill="1" applyBorder="1" applyAlignment="1" applyProtection="1">
      <alignment horizontal="center" wrapText="1"/>
      <protection locked="0"/>
    </xf>
    <xf numFmtId="10" fontId="0" fillId="0" borderId="10" xfId="0" applyNumberFormat="1" applyBorder="1" applyAlignment="1">
      <alignment horizontal="center" wrapText="1"/>
    </xf>
    <xf numFmtId="9" fontId="0" fillId="3" borderId="4" xfId="1" applyFont="1" applyFill="1" applyBorder="1" applyAlignment="1" applyProtection="1">
      <alignment horizontal="center" wrapText="1"/>
      <protection locked="0"/>
    </xf>
    <xf numFmtId="9" fontId="0" fillId="0" borderId="12" xfId="0" applyNumberFormat="1" applyBorder="1" applyAlignment="1">
      <alignment horizontal="center" wrapText="1"/>
    </xf>
    <xf numFmtId="9" fontId="3" fillId="3" borderId="3" xfId="1" applyFon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>
      <alignment horizontal="center" wrapText="1"/>
    </xf>
    <xf numFmtId="0" fontId="3" fillId="2" borderId="8" xfId="0" applyFont="1" applyFill="1" applyBorder="1" applyAlignment="1">
      <alignment horizontal="right" wrapText="1"/>
    </xf>
    <xf numFmtId="9" fontId="3" fillId="2" borderId="8" xfId="0" applyNumberFormat="1" applyFont="1" applyFill="1" applyBorder="1" applyAlignment="1">
      <alignment horizontal="center" wrapText="1"/>
    </xf>
    <xf numFmtId="9" fontId="0" fillId="2" borderId="8" xfId="0" applyNumberFormat="1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10" fontId="0" fillId="2" borderId="2" xfId="1" applyNumberFormat="1" applyFont="1" applyFill="1" applyBorder="1" applyAlignment="1">
      <alignment horizontal="left" wrapText="1"/>
    </xf>
    <xf numFmtId="0" fontId="0" fillId="2" borderId="0" xfId="0" applyFill="1" applyBorder="1" applyAlignment="1">
      <alignment horizontal="right" wrapText="1"/>
    </xf>
    <xf numFmtId="0" fontId="0" fillId="2" borderId="0" xfId="0" applyFill="1" applyBorder="1" applyAlignment="1">
      <alignment horizontal="center" wrapText="1"/>
    </xf>
    <xf numFmtId="165" fontId="0" fillId="2" borderId="0" xfId="0" applyNumberFormat="1" applyFill="1" applyBorder="1" applyAlignment="1">
      <alignment horizontal="center" wrapText="1"/>
    </xf>
    <xf numFmtId="0" fontId="0" fillId="2" borderId="0" xfId="0" applyFill="1" applyBorder="1" applyAlignment="1">
      <alignment horizontal="left" wrapText="1"/>
    </xf>
    <xf numFmtId="0" fontId="0" fillId="2" borderId="10" xfId="0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3" fillId="2" borderId="17" xfId="0" applyFont="1" applyFill="1" applyBorder="1" applyAlignment="1">
      <alignment horizontal="left" wrapText="1"/>
    </xf>
    <xf numFmtId="9" fontId="3" fillId="2" borderId="18" xfId="0" applyNumberFormat="1" applyFont="1" applyFill="1" applyBorder="1" applyAlignment="1">
      <alignment horizontal="right" wrapText="1"/>
    </xf>
    <xf numFmtId="9" fontId="3" fillId="2" borderId="18" xfId="0" applyNumberFormat="1" applyFont="1" applyFill="1" applyBorder="1" applyAlignment="1">
      <alignment horizontal="center" wrapText="1"/>
    </xf>
    <xf numFmtId="9" fontId="3" fillId="2" borderId="18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0" fillId="2" borderId="10" xfId="0" applyNumberFormat="1" applyFill="1" applyBorder="1" applyAlignment="1">
      <alignment horizontal="center" wrapText="1"/>
    </xf>
    <xf numFmtId="10" fontId="0" fillId="2" borderId="3" xfId="1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right" wrapText="1"/>
    </xf>
    <xf numFmtId="0" fontId="0" fillId="2" borderId="12" xfId="0" applyFill="1" applyBorder="1" applyAlignment="1">
      <alignment horizontal="center" wrapText="1"/>
    </xf>
    <xf numFmtId="0" fontId="0" fillId="2" borderId="25" xfId="0" applyNumberFormat="1" applyFill="1" applyBorder="1" applyAlignment="1">
      <alignment horizontal="center" wrapText="1"/>
    </xf>
    <xf numFmtId="167" fontId="3" fillId="6" borderId="0" xfId="0" applyNumberFormat="1" applyFont="1" applyFill="1" applyBorder="1" applyAlignment="1">
      <alignment horizontal="center"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wrapText="1"/>
    </xf>
    <xf numFmtId="9" fontId="3" fillId="5" borderId="0" xfId="0" applyNumberFormat="1" applyFont="1" applyFill="1" applyBorder="1" applyAlignment="1">
      <alignment horizontal="left" wrapText="1"/>
    </xf>
    <xf numFmtId="0" fontId="3" fillId="4" borderId="4" xfId="0" applyFont="1" applyFill="1" applyBorder="1" applyAlignment="1">
      <alignment wrapText="1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>
      <alignment horizontal="left" wrapText="1"/>
    </xf>
    <xf numFmtId="0" fontId="0" fillId="4" borderId="0" xfId="0" applyFill="1" applyBorder="1" applyAlignment="1">
      <alignment horizontal="right" wrapText="1"/>
    </xf>
    <xf numFmtId="0" fontId="3" fillId="5" borderId="3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wrapText="1"/>
    </xf>
    <xf numFmtId="168" fontId="3" fillId="5" borderId="4" xfId="0" applyNumberFormat="1" applyFont="1" applyFill="1" applyBorder="1" applyAlignment="1">
      <alignment horizontal="center" wrapText="1"/>
    </xf>
    <xf numFmtId="9" fontId="3" fillId="5" borderId="12" xfId="1" applyFont="1" applyFill="1" applyBorder="1" applyAlignment="1">
      <alignment horizontal="left" wrapText="1"/>
    </xf>
    <xf numFmtId="165" fontId="3" fillId="2" borderId="0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5" fontId="3" fillId="5" borderId="0" xfId="0" applyNumberFormat="1" applyFont="1" applyFill="1" applyBorder="1" applyAlignment="1">
      <alignment horizontal="center" wrapText="1"/>
    </xf>
    <xf numFmtId="165" fontId="3" fillId="5" borderId="18" xfId="0" applyNumberFormat="1" applyFont="1" applyFill="1" applyBorder="1" applyAlignment="1">
      <alignment horizontal="center" wrapText="1"/>
    </xf>
    <xf numFmtId="165" fontId="3" fillId="6" borderId="2" xfId="0" applyNumberFormat="1" applyFont="1" applyFill="1" applyBorder="1" applyAlignment="1">
      <alignment horizontal="left" wrapText="1"/>
    </xf>
    <xf numFmtId="9" fontId="0" fillId="2" borderId="10" xfId="1" applyNumberFormat="1" applyFont="1" applyFill="1" applyBorder="1" applyAlignment="1">
      <alignment horizontal="left" wrapText="1"/>
    </xf>
    <xf numFmtId="2" fontId="0" fillId="0" borderId="0" xfId="0" applyNumberFormat="1" applyFill="1" applyBorder="1" applyAlignment="1">
      <alignment horizontal="center" wrapText="1"/>
    </xf>
    <xf numFmtId="2" fontId="0" fillId="0" borderId="0" xfId="0" applyNumberFormat="1" applyFill="1" applyBorder="1" applyAlignment="1" applyProtection="1">
      <alignment horizontal="center" wrapText="1"/>
    </xf>
    <xf numFmtId="2" fontId="0" fillId="3" borderId="4" xfId="0" applyNumberFormat="1" applyFill="1" applyBorder="1" applyAlignment="1" applyProtection="1">
      <alignment horizontal="center" wrapText="1"/>
      <protection locked="0"/>
    </xf>
    <xf numFmtId="2" fontId="0" fillId="0" borderId="4" xfId="0" applyNumberFormat="1" applyBorder="1" applyAlignment="1">
      <alignment horizontal="center" wrapText="1"/>
    </xf>
    <xf numFmtId="2" fontId="0" fillId="3" borderId="0" xfId="0" applyNumberFormat="1" applyFill="1" applyBorder="1" applyAlignment="1" applyProtection="1">
      <alignment horizontal="center" wrapText="1"/>
      <protection locked="0"/>
    </xf>
    <xf numFmtId="2" fontId="0" fillId="0" borderId="0" xfId="0" applyNumberFormat="1" applyBorder="1" applyAlignment="1">
      <alignment horizontal="center" wrapText="1"/>
    </xf>
    <xf numFmtId="0" fontId="15" fillId="0" borderId="0" xfId="0" applyFont="1"/>
    <xf numFmtId="165" fontId="3" fillId="4" borderId="23" xfId="0" applyNumberFormat="1" applyFont="1" applyFill="1" applyBorder="1" applyAlignment="1">
      <alignment horizontal="center" wrapText="1"/>
    </xf>
    <xf numFmtId="165" fontId="3" fillId="4" borderId="18" xfId="0" applyNumberFormat="1" applyFont="1" applyFill="1" applyBorder="1" applyAlignment="1">
      <alignment horizontal="center" wrapText="1"/>
    </xf>
    <xf numFmtId="1" fontId="3" fillId="4" borderId="0" xfId="0" applyNumberFormat="1" applyFont="1" applyFill="1" applyBorder="1" applyAlignment="1">
      <alignment horizontal="center" wrapText="1"/>
    </xf>
    <xf numFmtId="1" fontId="3" fillId="6" borderId="10" xfId="0" applyNumberFormat="1" applyFont="1" applyFill="1" applyBorder="1" applyAlignment="1">
      <alignment horizontal="right" vertical="top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2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8" fillId="0" borderId="0" xfId="0" applyFont="1" applyFill="1" applyBorder="1" applyAlignment="1" applyProtection="1">
      <alignment horizontal="left"/>
    </xf>
    <xf numFmtId="0" fontId="18" fillId="7" borderId="10" xfId="0" applyFont="1" applyFill="1" applyBorder="1" applyProtection="1"/>
    <xf numFmtId="0" fontId="0" fillId="7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Protection="1"/>
    <xf numFmtId="0" fontId="18" fillId="8" borderId="11" xfId="0" applyFont="1" applyFill="1" applyBorder="1" applyAlignment="1" applyProtection="1">
      <alignment horizontal="left"/>
    </xf>
    <xf numFmtId="0" fontId="0" fillId="8" borderId="5" xfId="0" applyFill="1" applyBorder="1" applyAlignment="1" applyProtection="1">
      <alignment horizontal="center"/>
    </xf>
    <xf numFmtId="0" fontId="0" fillId="8" borderId="6" xfId="0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18" fillId="0" borderId="22" xfId="0" applyFont="1" applyFill="1" applyBorder="1" applyAlignment="1" applyProtection="1">
      <alignment horizontal="left"/>
    </xf>
    <xf numFmtId="0" fontId="0" fillId="0" borderId="23" xfId="0" applyFill="1" applyBorder="1" applyAlignment="1" applyProtection="1">
      <alignment horizontal="center"/>
    </xf>
    <xf numFmtId="0" fontId="0" fillId="0" borderId="23" xfId="0" applyBorder="1" applyProtection="1"/>
    <xf numFmtId="0" fontId="18" fillId="0" borderId="23" xfId="0" applyFont="1" applyBorder="1" applyProtection="1"/>
    <xf numFmtId="0" fontId="0" fillId="0" borderId="24" xfId="0" applyBorder="1" applyProtection="1"/>
    <xf numFmtId="0" fontId="0" fillId="0" borderId="2" xfId="0" applyBorder="1" applyProtection="1"/>
    <xf numFmtId="0" fontId="0" fillId="0" borderId="0" xfId="0" applyBorder="1" applyProtection="1"/>
    <xf numFmtId="0" fontId="18" fillId="0" borderId="0" xfId="0" applyFont="1" applyBorder="1" applyAlignment="1" applyProtection="1">
      <alignment horizontal="left"/>
    </xf>
    <xf numFmtId="49" fontId="0" fillId="8" borderId="0" xfId="0" applyNumberFormat="1" applyFill="1" applyBorder="1" applyAlignment="1" applyProtection="1">
      <alignment horizontal="center"/>
      <protection locked="0"/>
    </xf>
    <xf numFmtId="2" fontId="17" fillId="0" borderId="0" xfId="3" applyNumberFormat="1" applyFill="1" applyBorder="1" applyAlignment="1" applyProtection="1">
      <alignment horizontal="left"/>
    </xf>
    <xf numFmtId="0" fontId="0" fillId="0" borderId="10" xfId="0" applyBorder="1" applyProtection="1"/>
    <xf numFmtId="0" fontId="18" fillId="0" borderId="2" xfId="0" applyFont="1" applyFill="1" applyBorder="1" applyAlignment="1" applyProtection="1">
      <alignment horizontal="left"/>
    </xf>
    <xf numFmtId="0" fontId="18" fillId="0" borderId="0" xfId="0" applyFont="1" applyBorder="1" applyProtection="1"/>
    <xf numFmtId="0" fontId="0" fillId="0" borderId="28" xfId="0" applyBorder="1" applyProtection="1"/>
    <xf numFmtId="0" fontId="18" fillId="0" borderId="17" xfId="0" applyFont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center"/>
    </xf>
    <xf numFmtId="0" fontId="18" fillId="0" borderId="18" xfId="0" applyFont="1" applyFill="1" applyBorder="1" applyAlignment="1" applyProtection="1">
      <alignment horizontal="center"/>
    </xf>
    <xf numFmtId="0" fontId="18" fillId="0" borderId="29" xfId="0" applyFont="1" applyFill="1" applyBorder="1" applyAlignment="1" applyProtection="1">
      <alignment horizontal="center"/>
    </xf>
    <xf numFmtId="0" fontId="18" fillId="0" borderId="19" xfId="0" applyFont="1" applyBorder="1" applyAlignment="1" applyProtection="1">
      <alignment horizontal="center"/>
    </xf>
    <xf numFmtId="0" fontId="18" fillId="0" borderId="29" xfId="0" applyFont="1" applyBorder="1" applyAlignment="1" applyProtection="1">
      <alignment horizontal="center"/>
    </xf>
    <xf numFmtId="0" fontId="18" fillId="0" borderId="19" xfId="0" applyFont="1" applyFill="1" applyBorder="1" applyAlignment="1" applyProtection="1">
      <alignment horizontal="center"/>
    </xf>
    <xf numFmtId="0" fontId="18" fillId="0" borderId="20" xfId="0" applyFont="1" applyBorder="1" applyAlignment="1" applyProtection="1">
      <alignment horizontal="center"/>
    </xf>
    <xf numFmtId="0" fontId="18" fillId="0" borderId="2" xfId="0" applyFont="1" applyBorder="1" applyAlignment="1" applyProtection="1">
      <alignment horizontal="left"/>
    </xf>
    <xf numFmtId="2" fontId="0" fillId="0" borderId="15" xfId="0" applyNumberFormat="1" applyFill="1" applyBorder="1" applyAlignment="1" applyProtection="1">
      <alignment horizontal="center"/>
    </xf>
    <xf numFmtId="164" fontId="0" fillId="0" borderId="15" xfId="0" applyNumberFormat="1" applyFill="1" applyBorder="1" applyAlignment="1" applyProtection="1">
      <alignment horizontal="center"/>
    </xf>
    <xf numFmtId="164" fontId="0" fillId="0" borderId="30" xfId="0" applyNumberFormat="1" applyFill="1" applyBorder="1" applyAlignment="1" applyProtection="1">
      <alignment horizontal="center"/>
    </xf>
    <xf numFmtId="9" fontId="0" fillId="0" borderId="16" xfId="0" applyNumberFormat="1" applyBorder="1" applyAlignment="1" applyProtection="1">
      <alignment horizontal="center"/>
    </xf>
    <xf numFmtId="9" fontId="0" fillId="0" borderId="30" xfId="0" applyNumberFormat="1" applyBorder="1" applyAlignment="1" applyProtection="1">
      <alignment horizontal="center"/>
    </xf>
    <xf numFmtId="0" fontId="0" fillId="0" borderId="16" xfId="0" applyBorder="1" applyProtection="1"/>
    <xf numFmtId="9" fontId="0" fillId="0" borderId="10" xfId="0" applyNumberFormat="1" applyBorder="1" applyAlignment="1" applyProtection="1">
      <alignment horizontal="center"/>
    </xf>
    <xf numFmtId="0" fontId="18" fillId="0" borderId="2" xfId="0" applyFont="1" applyBorder="1" applyAlignment="1" applyProtection="1">
      <alignment horizontal="left" vertical="top"/>
    </xf>
    <xf numFmtId="2" fontId="0" fillId="8" borderId="0" xfId="0" applyNumberFormat="1" applyFill="1" applyBorder="1" applyAlignment="1" applyProtection="1">
      <alignment horizontal="center" vertical="top"/>
      <protection locked="0"/>
    </xf>
    <xf numFmtId="164" fontId="0" fillId="8" borderId="0" xfId="0" applyNumberFormat="1" applyFill="1" applyBorder="1" applyAlignment="1" applyProtection="1">
      <alignment horizontal="center" vertical="top"/>
      <protection locked="0"/>
    </xf>
    <xf numFmtId="164" fontId="0" fillId="8" borderId="30" xfId="0" applyNumberFormat="1" applyFill="1" applyBorder="1" applyAlignment="1" applyProtection="1">
      <alignment horizontal="center" vertical="top"/>
      <protection locked="0"/>
    </xf>
    <xf numFmtId="164" fontId="0" fillId="8" borderId="16" xfId="0" applyNumberFormat="1" applyFill="1" applyBorder="1" applyAlignment="1" applyProtection="1">
      <alignment horizontal="center" vertical="top"/>
      <protection locked="0"/>
    </xf>
    <xf numFmtId="164" fontId="0" fillId="8" borderId="10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top"/>
    </xf>
    <xf numFmtId="0" fontId="0" fillId="0" borderId="0" xfId="0" applyAlignment="1" applyProtection="1"/>
    <xf numFmtId="164" fontId="0" fillId="8" borderId="10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18" fillId="0" borderId="3" xfId="0" applyFont="1" applyBorder="1" applyAlignment="1" applyProtection="1">
      <alignment horizontal="left" vertical="top"/>
    </xf>
    <xf numFmtId="2" fontId="0" fillId="8" borderId="4" xfId="0" applyNumberFormat="1" applyFill="1" applyBorder="1" applyAlignment="1" applyProtection="1">
      <alignment horizontal="center" vertical="top"/>
      <protection locked="0"/>
    </xf>
    <xf numFmtId="164" fontId="0" fillId="8" borderId="4" xfId="0" applyNumberFormat="1" applyFill="1" applyBorder="1" applyAlignment="1" applyProtection="1">
      <alignment horizontal="center" vertical="top"/>
      <protection locked="0"/>
    </xf>
    <xf numFmtId="164" fontId="0" fillId="8" borderId="31" xfId="0" applyNumberFormat="1" applyFill="1" applyBorder="1" applyAlignment="1" applyProtection="1">
      <alignment horizontal="center" vertical="top"/>
      <protection locked="0"/>
    </xf>
    <xf numFmtId="164" fontId="0" fillId="8" borderId="32" xfId="0" applyNumberFormat="1" applyFill="1" applyBorder="1" applyAlignment="1" applyProtection="1">
      <alignment horizontal="center" vertical="top"/>
      <protection locked="0"/>
    </xf>
    <xf numFmtId="164" fontId="0" fillId="8" borderId="12" xfId="0" applyNumberFormat="1" applyFill="1" applyBorder="1" applyAlignment="1" applyProtection="1">
      <alignment horizontal="center" vertical="top"/>
      <protection locked="0"/>
    </xf>
    <xf numFmtId="9" fontId="0" fillId="0" borderId="0" xfId="0" applyNumberFormat="1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10" fontId="0" fillId="0" borderId="0" xfId="0" applyNumberForma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Protection="1"/>
    <xf numFmtId="0" fontId="18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18" fillId="0" borderId="2" xfId="0" applyFont="1" applyBorder="1" applyAlignment="1" applyProtection="1">
      <alignment horizontal="left" wrapText="1"/>
    </xf>
    <xf numFmtId="9" fontId="0" fillId="0" borderId="0" xfId="0" applyNumberFormat="1" applyFill="1" applyBorder="1" applyAlignment="1" applyProtection="1">
      <alignment horizontal="center" wrapText="1"/>
    </xf>
    <xf numFmtId="164" fontId="0" fillId="0" borderId="0" xfId="0" applyNumberFormat="1" applyFill="1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10" fontId="0" fillId="0" borderId="0" xfId="0" applyNumberForma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vertical="top" wrapText="1"/>
    </xf>
    <xf numFmtId="0" fontId="0" fillId="0" borderId="0" xfId="0" applyAlignment="1" applyProtection="1">
      <alignment horizontal="left" wrapText="1"/>
    </xf>
    <xf numFmtId="0" fontId="18" fillId="0" borderId="0" xfId="0" applyFont="1" applyFill="1" applyBorder="1" applyAlignment="1" applyProtection="1">
      <alignment horizontal="left" vertical="top" wrapText="1"/>
    </xf>
    <xf numFmtId="9" fontId="0" fillId="0" borderId="0" xfId="0" applyNumberFormat="1" applyProtection="1"/>
    <xf numFmtId="169" fontId="0" fillId="0" borderId="0" xfId="0" applyNumberFormat="1" applyProtection="1"/>
    <xf numFmtId="9" fontId="20" fillId="7" borderId="11" xfId="0" applyNumberFormat="1" applyFont="1" applyFill="1" applyBorder="1" applyAlignment="1" applyProtection="1">
      <alignment horizontal="left"/>
    </xf>
    <xf numFmtId="0" fontId="0" fillId="7" borderId="5" xfId="0" applyFill="1" applyBorder="1" applyProtection="1"/>
    <xf numFmtId="9" fontId="0" fillId="7" borderId="5" xfId="0" applyNumberFormat="1" applyFill="1" applyBorder="1" applyAlignment="1" applyProtection="1">
      <alignment horizontal="center"/>
    </xf>
    <xf numFmtId="0" fontId="0" fillId="7" borderId="6" xfId="0" applyFill="1" applyBorder="1" applyProtection="1"/>
    <xf numFmtId="10" fontId="0" fillId="7" borderId="7" xfId="0" applyNumberFormat="1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0" fillId="7" borderId="8" xfId="0" applyFill="1" applyBorder="1" applyProtection="1"/>
    <xf numFmtId="9" fontId="0" fillId="7" borderId="8" xfId="0" applyNumberFormat="1" applyFill="1" applyBorder="1" applyAlignment="1" applyProtection="1">
      <alignment horizontal="center"/>
    </xf>
    <xf numFmtId="0" fontId="0" fillId="7" borderId="9" xfId="0" applyFill="1" applyBorder="1" applyProtection="1"/>
    <xf numFmtId="0" fontId="0" fillId="7" borderId="2" xfId="0" applyFill="1" applyBorder="1" applyAlignment="1" applyProtection="1">
      <alignment horizontal="center"/>
    </xf>
    <xf numFmtId="0" fontId="0" fillId="7" borderId="0" xfId="0" applyFill="1" applyBorder="1" applyProtection="1"/>
    <xf numFmtId="9" fontId="0" fillId="7" borderId="0" xfId="0" applyNumberFormat="1" applyFill="1" applyBorder="1" applyAlignment="1" applyProtection="1">
      <alignment horizontal="center"/>
    </xf>
    <xf numFmtId="0" fontId="0" fillId="7" borderId="10" xfId="0" applyFill="1" applyBorder="1" applyProtection="1"/>
    <xf numFmtId="0" fontId="0" fillId="7" borderId="3" xfId="0" applyFill="1" applyBorder="1" applyAlignment="1" applyProtection="1">
      <alignment horizontal="center"/>
    </xf>
    <xf numFmtId="0" fontId="0" fillId="7" borderId="4" xfId="0" applyFill="1" applyBorder="1" applyAlignment="1" applyProtection="1">
      <alignment horizontal="center"/>
    </xf>
    <xf numFmtId="0" fontId="0" fillId="7" borderId="4" xfId="0" applyFill="1" applyBorder="1" applyProtection="1"/>
    <xf numFmtId="0" fontId="0" fillId="7" borderId="12" xfId="0" applyFill="1" applyBorder="1" applyProtection="1"/>
    <xf numFmtId="9" fontId="20" fillId="7" borderId="22" xfId="0" applyNumberFormat="1" applyFont="1" applyFill="1" applyBorder="1" applyAlignment="1" applyProtection="1">
      <alignment horizontal="left"/>
    </xf>
    <xf numFmtId="9" fontId="0" fillId="7" borderId="23" xfId="0" applyNumberFormat="1" applyFill="1" applyBorder="1" applyAlignment="1" applyProtection="1">
      <alignment horizontal="center"/>
    </xf>
    <xf numFmtId="9" fontId="0" fillId="7" borderId="24" xfId="0" applyNumberFormat="1" applyFill="1" applyBorder="1" applyAlignment="1" applyProtection="1">
      <alignment horizontal="center"/>
    </xf>
    <xf numFmtId="0" fontId="0" fillId="7" borderId="22" xfId="0" applyFill="1" applyBorder="1" applyProtection="1"/>
    <xf numFmtId="0" fontId="0" fillId="7" borderId="23" xfId="0" applyFill="1" applyBorder="1" applyProtection="1"/>
    <xf numFmtId="0" fontId="0" fillId="7" borderId="24" xfId="0" applyFill="1" applyBorder="1" applyAlignment="1" applyProtection="1">
      <alignment horizontal="left"/>
    </xf>
    <xf numFmtId="0" fontId="0" fillId="7" borderId="24" xfId="0" applyFill="1" applyBorder="1" applyProtection="1"/>
    <xf numFmtId="10" fontId="0" fillId="7" borderId="2" xfId="0" applyNumberFormat="1" applyFill="1" applyBorder="1" applyProtection="1"/>
    <xf numFmtId="0" fontId="0" fillId="7" borderId="0" xfId="0" applyFill="1" applyBorder="1" applyAlignment="1" applyProtection="1">
      <alignment horizontal="right" wrapText="1"/>
    </xf>
    <xf numFmtId="0" fontId="0" fillId="7" borderId="0" xfId="0" applyFill="1" applyBorder="1" applyAlignment="1" applyProtection="1">
      <alignment horizontal="center" wrapText="1"/>
    </xf>
    <xf numFmtId="165" fontId="0" fillId="7" borderId="0" xfId="0" applyNumberFormat="1" applyFill="1" applyBorder="1" applyAlignment="1" applyProtection="1">
      <alignment horizontal="center"/>
    </xf>
    <xf numFmtId="10" fontId="0" fillId="7" borderId="0" xfId="0" applyNumberFormat="1" applyFill="1" applyBorder="1" applyProtection="1"/>
    <xf numFmtId="164" fontId="0" fillId="7" borderId="0" xfId="0" applyNumberFormat="1" applyFill="1" applyBorder="1" applyProtection="1"/>
    <xf numFmtId="10" fontId="0" fillId="7" borderId="10" xfId="0" applyNumberFormat="1" applyFill="1" applyBorder="1" applyAlignment="1" applyProtection="1">
      <alignment horizontal="left"/>
    </xf>
    <xf numFmtId="164" fontId="0" fillId="7" borderId="2" xfId="0" applyNumberFormat="1" applyFill="1" applyBorder="1" applyAlignment="1" applyProtection="1">
      <alignment horizontal="center"/>
    </xf>
    <xf numFmtId="164" fontId="0" fillId="7" borderId="10" xfId="0" applyNumberFormat="1" applyFill="1" applyBorder="1" applyAlignment="1" applyProtection="1">
      <alignment horizontal="center"/>
    </xf>
    <xf numFmtId="10" fontId="0" fillId="7" borderId="3" xfId="0" applyNumberFormat="1" applyFill="1" applyBorder="1" applyProtection="1"/>
    <xf numFmtId="0" fontId="0" fillId="7" borderId="4" xfId="0" applyFill="1" applyBorder="1" applyAlignment="1" applyProtection="1">
      <alignment horizontal="right" wrapText="1"/>
    </xf>
    <xf numFmtId="0" fontId="0" fillId="7" borderId="4" xfId="0" applyFill="1" applyBorder="1" applyAlignment="1" applyProtection="1">
      <alignment horizontal="center" wrapText="1"/>
    </xf>
    <xf numFmtId="165" fontId="0" fillId="7" borderId="4" xfId="0" applyNumberFormat="1" applyFill="1" applyBorder="1" applyAlignment="1" applyProtection="1">
      <alignment horizontal="center"/>
    </xf>
    <xf numFmtId="10" fontId="0" fillId="7" borderId="4" xfId="0" applyNumberFormat="1" applyFill="1" applyBorder="1" applyProtection="1"/>
    <xf numFmtId="164" fontId="0" fillId="7" borderId="4" xfId="0" applyNumberFormat="1" applyFill="1" applyBorder="1" applyProtection="1"/>
    <xf numFmtId="10" fontId="0" fillId="7" borderId="12" xfId="0" applyNumberFormat="1" applyFill="1" applyBorder="1" applyAlignment="1" applyProtection="1">
      <alignment horizontal="left"/>
    </xf>
    <xf numFmtId="164" fontId="0" fillId="7" borderId="3" xfId="0" applyNumberFormat="1" applyFill="1" applyBorder="1" applyAlignment="1" applyProtection="1">
      <alignment horizontal="center"/>
    </xf>
    <xf numFmtId="164" fontId="0" fillId="7" borderId="12" xfId="0" applyNumberForma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18" fillId="7" borderId="23" xfId="0" applyFont="1" applyFill="1" applyBorder="1" applyProtection="1"/>
    <xf numFmtId="10" fontId="18" fillId="7" borderId="23" xfId="0" applyNumberFormat="1" applyFont="1" applyFill="1" applyBorder="1" applyProtection="1"/>
    <xf numFmtId="0" fontId="0" fillId="7" borderId="22" xfId="0" applyFill="1" applyBorder="1" applyAlignment="1" applyProtection="1">
      <alignment horizontal="center"/>
    </xf>
    <xf numFmtId="0" fontId="0" fillId="7" borderId="2" xfId="0" applyFill="1" applyBorder="1" applyProtection="1"/>
    <xf numFmtId="164" fontId="0" fillId="7" borderId="22" xfId="0" applyNumberFormat="1" applyFill="1" applyBorder="1" applyProtection="1"/>
    <xf numFmtId="164" fontId="0" fillId="7" borderId="23" xfId="0" applyNumberFormat="1" applyFill="1" applyBorder="1" applyProtection="1"/>
    <xf numFmtId="165" fontId="0" fillId="7" borderId="23" xfId="0" applyNumberFormat="1" applyFill="1" applyBorder="1" applyProtection="1"/>
    <xf numFmtId="0" fontId="0" fillId="7" borderId="3" xfId="0" applyFill="1" applyBorder="1" applyProtection="1"/>
    <xf numFmtId="0" fontId="0" fillId="0" borderId="0" xfId="0" applyFill="1" applyProtection="1"/>
    <xf numFmtId="0" fontId="3" fillId="5" borderId="11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wrapText="1"/>
    </xf>
    <xf numFmtId="0" fontId="3" fillId="5" borderId="6" xfId="0" applyFont="1" applyFill="1" applyBorder="1" applyAlignment="1">
      <alignment horizontal="left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9" fontId="4" fillId="2" borderId="11" xfId="0" applyNumberFormat="1" applyFont="1" applyFill="1" applyBorder="1" applyAlignment="1">
      <alignment horizontal="left" wrapText="1"/>
    </xf>
    <xf numFmtId="9" fontId="4" fillId="2" borderId="5" xfId="0" applyNumberFormat="1" applyFont="1" applyFill="1" applyBorder="1" applyAlignment="1">
      <alignment horizontal="left" wrapText="1"/>
    </xf>
    <xf numFmtId="9" fontId="4" fillId="2" borderId="6" xfId="0" applyNumberFormat="1" applyFont="1" applyFill="1" applyBorder="1" applyAlignment="1">
      <alignment horizontal="left" wrapText="1"/>
    </xf>
    <xf numFmtId="0" fontId="3" fillId="4" borderId="11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3" fillId="4" borderId="6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0" fillId="0" borderId="2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22" xfId="0" applyFill="1" applyBorder="1" applyAlignment="1" applyProtection="1">
      <alignment horizontal="left" vertical="top" wrapText="1"/>
      <protection locked="0"/>
    </xf>
    <xf numFmtId="0" fontId="0" fillId="3" borderId="23" xfId="0" applyFill="1" applyBorder="1" applyAlignment="1" applyProtection="1">
      <alignment horizontal="left" vertical="top" wrapText="1"/>
      <protection locked="0"/>
    </xf>
    <xf numFmtId="0" fontId="0" fillId="3" borderId="24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5" borderId="23" xfId="0" quotePrefix="1" applyFill="1" applyBorder="1" applyAlignment="1">
      <alignment horizontal="left" vertical="top" wrapText="1"/>
    </xf>
    <xf numFmtId="0" fontId="0" fillId="5" borderId="23" xfId="0" applyFill="1" applyBorder="1" applyAlignment="1">
      <alignment horizontal="left" vertical="top" wrapText="1"/>
    </xf>
    <xf numFmtId="0" fontId="0" fillId="5" borderId="24" xfId="0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wrapText="1"/>
    </xf>
    <xf numFmtId="0" fontId="3" fillId="6" borderId="4" xfId="0" applyFont="1" applyFill="1" applyBorder="1" applyAlignment="1">
      <alignment horizontal="left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5" borderId="0" xfId="0" quotePrefix="1" applyFill="1" applyBorder="1" applyAlignment="1">
      <alignment horizontal="left" wrapText="1"/>
    </xf>
    <xf numFmtId="0" fontId="0" fillId="5" borderId="10" xfId="0" quotePrefix="1" applyFill="1" applyBorder="1" applyAlignment="1">
      <alignment horizontal="left" wrapText="1"/>
    </xf>
    <xf numFmtId="0" fontId="6" fillId="3" borderId="11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1" fontId="0" fillId="3" borderId="0" xfId="0" applyNumberFormat="1" applyFill="1" applyBorder="1" applyAlignment="1" applyProtection="1">
      <alignment horizontal="center" wrapText="1"/>
      <protection locked="0"/>
    </xf>
    <xf numFmtId="165" fontId="0" fillId="0" borderId="0" xfId="0" applyNumberFormat="1" applyBorder="1" applyAlignment="1">
      <alignment horizontal="center" wrapText="1"/>
    </xf>
    <xf numFmtId="165" fontId="0" fillId="3" borderId="4" xfId="1" applyNumberFormat="1" applyFont="1" applyFill="1" applyBorder="1" applyAlignment="1" applyProtection="1">
      <alignment horizontal="center" wrapText="1"/>
      <protection locked="0"/>
    </xf>
    <xf numFmtId="0" fontId="3" fillId="0" borderId="8" xfId="0" applyFont="1" applyFill="1" applyBorder="1" applyAlignment="1">
      <alignment horizontal="center" wrapText="1"/>
    </xf>
    <xf numFmtId="2" fontId="0" fillId="3" borderId="0" xfId="0" applyNumberFormat="1" applyFill="1" applyBorder="1" applyAlignment="1" applyProtection="1">
      <alignment horizontal="center" wrapText="1"/>
      <protection locked="0"/>
    </xf>
    <xf numFmtId="0" fontId="0" fillId="3" borderId="0" xfId="0" applyNumberFormat="1" applyFill="1" applyBorder="1" applyAlignment="1" applyProtection="1">
      <alignment horizontal="center" wrapText="1"/>
      <protection locked="0"/>
    </xf>
    <xf numFmtId="9" fontId="0" fillId="3" borderId="0" xfId="1" applyFont="1" applyFill="1" applyBorder="1" applyAlignment="1" applyProtection="1">
      <alignment horizontal="center" wrapText="1"/>
      <protection locked="0"/>
    </xf>
    <xf numFmtId="9" fontId="0" fillId="3" borderId="0" xfId="0" applyNumberFormat="1" applyFill="1" applyBorder="1" applyAlignment="1" applyProtection="1">
      <alignment horizontal="center" wrapText="1"/>
      <protection locked="0"/>
    </xf>
    <xf numFmtId="165" fontId="0" fillId="3" borderId="0" xfId="0" applyNumberFormat="1" applyFill="1" applyBorder="1" applyAlignment="1" applyProtection="1">
      <alignment horizontal="center" wrapText="1"/>
      <protection locked="0"/>
    </xf>
    <xf numFmtId="0" fontId="0" fillId="0" borderId="27" xfId="0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</cellXfs>
  <cellStyles count="4">
    <cellStyle name="Comma" xfId="2" builtinId="3"/>
    <cellStyle name="Normal" xfId="0" builtinId="0"/>
    <cellStyle name="Percent" xfId="1" builtinId="5"/>
    <cellStyle name="Warning Text" xfId="3" builtin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767537826685024E-2"/>
          <c:y val="0.1619870410367171"/>
          <c:w val="0.81568088033012387"/>
          <c:h val="0.680345572354211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'Wksht.LCL,UCL'!$B$111</c:f>
              <c:strCache>
                <c:ptCount val="1"/>
                <c:pt idx="0">
                  <c:v>99%</c:v>
                </c:pt>
              </c:strCache>
            </c:strRef>
          </c:tx>
          <c:marker>
            <c:symbol val="none"/>
          </c:marker>
          <c:xVal>
            <c:numRef>
              <c:f>'Wksht.LCL,UCL'!$B$112:$B$131</c:f>
              <c:numCache>
                <c:formatCode>General</c:formatCode>
                <c:ptCount val="20"/>
                <c:pt idx="0">
                  <c:v>2.4702164941151284E-2</c:v>
                </c:pt>
                <c:pt idx="1">
                  <c:v>2.9894821190446421E-2</c:v>
                </c:pt>
                <c:pt idx="2">
                  <c:v>3.6340720368338617E-2</c:v>
                </c:pt>
                <c:pt idx="3">
                  <c:v>4.4388397488085596E-2</c:v>
                </c:pt>
                <c:pt idx="4">
                  <c:v>5.449842409189222E-2</c:v>
                </c:pt>
                <c:pt idx="5">
                  <c:v>6.7285150895231946E-2</c:v>
                </c:pt>
                <c:pt idx="6">
                  <c:v>8.3576527543825968E-2</c:v>
                </c:pt>
                <c:pt idx="7">
                  <c:v>0.10450112839851311</c:v>
                </c:pt>
                <c:pt idx="8">
                  <c:v>0.13161691124334984</c:v>
                </c:pt>
                <c:pt idx="9">
                  <c:v>0.16710539108467573</c:v>
                </c:pt>
                <c:pt idx="10">
                  <c:v>0.21407092339134093</c:v>
                </c:pt>
                <c:pt idx="11">
                  <c:v>0.27701381619974891</c:v>
                </c:pt>
                <c:pt idx="12">
                  <c:v>0.36260087987349904</c:v>
                </c:pt>
                <c:pt idx="13">
                  <c:v>0.48096625830287465</c:v>
                </c:pt>
                <c:pt idx="14">
                  <c:v>0.64800686277215402</c:v>
                </c:pt>
                <c:pt idx="15">
                  <c:v>0.88966773471611815</c:v>
                </c:pt>
                <c:pt idx="16">
                  <c:v>1.2505634808921491</c:v>
                </c:pt>
                <c:pt idx="17">
                  <c:v>1.8132370270545974</c:v>
                </c:pt>
                <c:pt idx="18">
                  <c:v>2.7485476536061211</c:v>
                </c:pt>
                <c:pt idx="19">
                  <c:v>4.4883101508740504</c:v>
                </c:pt>
              </c:numCache>
            </c:numRef>
          </c:xVal>
          <c:yVal>
            <c:numRef>
              <c:f>'Wksht.LCL,UCL'!$A$112:$A$131</c:f>
              <c:numCache>
                <c:formatCode>0.00%</c:formatCode>
                <c:ptCount val="20"/>
                <c:pt idx="0">
                  <c:v>1E-4</c:v>
                </c:pt>
                <c:pt idx="1">
                  <c:v>1.5656065579430965E-4</c:v>
                </c:pt>
                <c:pt idx="2">
                  <c:v>2.45112389427443E-4</c:v>
                </c:pt>
                <c:pt idx="3">
                  <c:v>3.8374956432070688E-4</c:v>
                </c:pt>
                <c:pt idx="4">
                  <c:v>6.0080083450830477E-4</c:v>
                </c:pt>
                <c:pt idx="5">
                  <c:v>9.4061772652388699E-4</c:v>
                </c:pt>
                <c:pt idx="6">
                  <c:v>1.4726372811633235E-3</c:v>
                </c:pt>
                <c:pt idx="7">
                  <c:v>2.3055705848607907E-3</c:v>
                </c:pt>
                <c:pt idx="8">
                  <c:v>3.6096164274587541E-3</c:v>
                </c:pt>
                <c:pt idx="9">
                  <c:v>5.6512391504885571E-3</c:v>
                </c:pt>
                <c:pt idx="10">
                  <c:v>8.8476170745096592E-3</c:v>
                </c:pt>
                <c:pt idx="11">
                  <c:v>1.3851887314021637E-2</c:v>
                </c:pt>
                <c:pt idx="12">
                  <c:v>2.1686605618721058E-2</c:v>
                </c:pt>
                <c:pt idx="13">
                  <c:v>3.3952691976195291E-2</c:v>
                </c:pt>
                <c:pt idx="14">
                  <c:v>5.3156557217753302E-2</c:v>
                </c:pt>
                <c:pt idx="15">
                  <c:v>8.3222254577792004E-2</c:v>
                </c:pt>
                <c:pt idx="16">
                  <c:v>0.13029330753380103</c:v>
                </c:pt>
                <c:pt idx="17">
                  <c:v>0.20398805673101555</c:v>
                </c:pt>
                <c:pt idx="18">
                  <c:v>0.31936503936014637</c:v>
                </c:pt>
                <c:pt idx="19">
                  <c:v>0.50000000000000033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'Wksht.LCL,UCL'!$C$111</c:f>
              <c:strCache>
                <c:ptCount val="1"/>
                <c:pt idx="0">
                  <c:v>95%</c:v>
                </c:pt>
              </c:strCache>
            </c:strRef>
          </c:tx>
          <c:marker>
            <c:symbol val="none"/>
          </c:marker>
          <c:xVal>
            <c:numRef>
              <c:f>'Wksht.LCL,UCL'!$C$112:$C$131</c:f>
              <c:numCache>
                <c:formatCode>General</c:formatCode>
                <c:ptCount val="20"/>
                <c:pt idx="0">
                  <c:v>8.6330964549928502E-2</c:v>
                </c:pt>
                <c:pt idx="1">
                  <c:v>0.10209683948400694</c:v>
                </c:pt>
                <c:pt idx="2">
                  <c:v>0.12123867683708589</c:v>
                </c:pt>
                <c:pt idx="3">
                  <c:v>0.14460736006255295</c:v>
                </c:pt>
                <c:pt idx="4">
                  <c:v>0.17330689011248129</c:v>
                </c:pt>
                <c:pt idx="5">
                  <c:v>0.20878343043429623</c:v>
                </c:pt>
                <c:pt idx="6">
                  <c:v>0.25295145847057504</c:v>
                </c:pt>
                <c:pt idx="7">
                  <c:v>0.30837537315196201</c:v>
                </c:pt>
                <c:pt idx="8">
                  <c:v>0.37853570103625861</c:v>
                </c:pt>
                <c:pt idx="9">
                  <c:v>0.4682274124019844</c:v>
                </c:pt>
                <c:pt idx="10">
                  <c:v>0.58417017452409525</c:v>
                </c:pt>
                <c:pt idx="11">
                  <c:v>0.73596946224275639</c:v>
                </c:pt>
                <c:pt idx="12">
                  <c:v>0.93768054623728725</c:v>
                </c:pt>
                <c:pt idx="13">
                  <c:v>1.210456025228684</c:v>
                </c:pt>
                <c:pt idx="14">
                  <c:v>1.5872518185553377</c:v>
                </c:pt>
                <c:pt idx="15">
                  <c:v>2.1217284570064132</c:v>
                </c:pt>
                <c:pt idx="16">
                  <c:v>2.9065289033222488</c:v>
                </c:pt>
                <c:pt idx="17">
                  <c:v>4.1153458825833829</c:v>
                </c:pt>
                <c:pt idx="18">
                  <c:v>6.117719691732316</c:v>
                </c:pt>
                <c:pt idx="19">
                  <c:v>9.8964027128814767</c:v>
                </c:pt>
              </c:numCache>
            </c:numRef>
          </c:xVal>
          <c:yVal>
            <c:numRef>
              <c:f>'Wksht.LCL,UCL'!$A$112:$A$131</c:f>
              <c:numCache>
                <c:formatCode>0.00%</c:formatCode>
                <c:ptCount val="20"/>
                <c:pt idx="0">
                  <c:v>1E-4</c:v>
                </c:pt>
                <c:pt idx="1">
                  <c:v>1.5656065579430965E-4</c:v>
                </c:pt>
                <c:pt idx="2">
                  <c:v>2.45112389427443E-4</c:v>
                </c:pt>
                <c:pt idx="3">
                  <c:v>3.8374956432070688E-4</c:v>
                </c:pt>
                <c:pt idx="4">
                  <c:v>6.0080083450830477E-4</c:v>
                </c:pt>
                <c:pt idx="5">
                  <c:v>9.4061772652388699E-4</c:v>
                </c:pt>
                <c:pt idx="6">
                  <c:v>1.4726372811633235E-3</c:v>
                </c:pt>
                <c:pt idx="7">
                  <c:v>2.3055705848607907E-3</c:v>
                </c:pt>
                <c:pt idx="8">
                  <c:v>3.6096164274587541E-3</c:v>
                </c:pt>
                <c:pt idx="9">
                  <c:v>5.6512391504885571E-3</c:v>
                </c:pt>
                <c:pt idx="10">
                  <c:v>8.8476170745096592E-3</c:v>
                </c:pt>
                <c:pt idx="11">
                  <c:v>1.3851887314021637E-2</c:v>
                </c:pt>
                <c:pt idx="12">
                  <c:v>2.1686605618721058E-2</c:v>
                </c:pt>
                <c:pt idx="13">
                  <c:v>3.3952691976195291E-2</c:v>
                </c:pt>
                <c:pt idx="14">
                  <c:v>5.3156557217753302E-2</c:v>
                </c:pt>
                <c:pt idx="15">
                  <c:v>8.3222254577792004E-2</c:v>
                </c:pt>
                <c:pt idx="16">
                  <c:v>0.13029330753380103</c:v>
                </c:pt>
                <c:pt idx="17">
                  <c:v>0.20398805673101555</c:v>
                </c:pt>
                <c:pt idx="18">
                  <c:v>0.31936503936014637</c:v>
                </c:pt>
                <c:pt idx="19">
                  <c:v>0.50000000000000033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'Wksht.LCL,UCL'!$D$111</c:f>
              <c:strCache>
                <c:ptCount val="1"/>
                <c:pt idx="0">
                  <c:v>90%</c:v>
                </c:pt>
              </c:strCache>
            </c:strRef>
          </c:tx>
          <c:marker>
            <c:symbol val="none"/>
          </c:marker>
          <c:xVal>
            <c:numRef>
              <c:f>'Wksht.LCL,UCL'!$D$112:$D$131</c:f>
              <c:numCache>
                <c:formatCode>General</c:formatCode>
                <c:ptCount val="20"/>
                <c:pt idx="0">
                  <c:v>0.16821625322275885</c:v>
                </c:pt>
                <c:pt idx="1">
                  <c:v>0.19650543844098492</c:v>
                </c:pt>
                <c:pt idx="2">
                  <c:v>0.23045311205280905</c:v>
                </c:pt>
                <c:pt idx="3">
                  <c:v>0.27141050200406641</c:v>
                </c:pt>
                <c:pt idx="4">
                  <c:v>0.32111486324590172</c:v>
                </c:pt>
                <c:pt idx="5">
                  <c:v>0.38182153608568897</c:v>
                </c:pt>
                <c:pt idx="6">
                  <c:v>0.45649011791283539</c:v>
                </c:pt>
                <c:pt idx="7">
                  <c:v>0.54905131534402118</c:v>
                </c:pt>
                <c:pt idx="8">
                  <c:v>0.66479668153897187</c:v>
                </c:pt>
                <c:pt idx="9">
                  <c:v>0.81096013266715039</c:v>
                </c:pt>
                <c:pt idx="10">
                  <c:v>0.99760727933874083</c:v>
                </c:pt>
                <c:pt idx="11">
                  <c:v>1.2390352673672349</c:v>
                </c:pt>
                <c:pt idx="12">
                  <c:v>1.5560527935789175</c:v>
                </c:pt>
                <c:pt idx="13">
                  <c:v>1.9798503080479244</c:v>
                </c:pt>
                <c:pt idx="14">
                  <c:v>2.5589134665506408</c:v>
                </c:pt>
                <c:pt idx="15">
                  <c:v>3.372200402219709</c:v>
                </c:pt>
                <c:pt idx="16">
                  <c:v>4.5564986234199898</c:v>
                </c:pt>
                <c:pt idx="17">
                  <c:v>6.3703443691271788</c:v>
                </c:pt>
                <c:pt idx="18">
                  <c:v>9.3720206429504938</c:v>
                </c:pt>
                <c:pt idx="19">
                  <c:v>15.084804874584828</c:v>
                </c:pt>
              </c:numCache>
            </c:numRef>
          </c:xVal>
          <c:yVal>
            <c:numRef>
              <c:f>'Wksht.LCL,UCL'!$A$112:$A$131</c:f>
              <c:numCache>
                <c:formatCode>0.00%</c:formatCode>
                <c:ptCount val="20"/>
                <c:pt idx="0">
                  <c:v>1E-4</c:v>
                </c:pt>
                <c:pt idx="1">
                  <c:v>1.5656065579430965E-4</c:v>
                </c:pt>
                <c:pt idx="2">
                  <c:v>2.45112389427443E-4</c:v>
                </c:pt>
                <c:pt idx="3">
                  <c:v>3.8374956432070688E-4</c:v>
                </c:pt>
                <c:pt idx="4">
                  <c:v>6.0080083450830477E-4</c:v>
                </c:pt>
                <c:pt idx="5">
                  <c:v>9.4061772652388699E-4</c:v>
                </c:pt>
                <c:pt idx="6">
                  <c:v>1.4726372811633235E-3</c:v>
                </c:pt>
                <c:pt idx="7">
                  <c:v>2.3055705848607907E-3</c:v>
                </c:pt>
                <c:pt idx="8">
                  <c:v>3.6096164274587541E-3</c:v>
                </c:pt>
                <c:pt idx="9">
                  <c:v>5.6512391504885571E-3</c:v>
                </c:pt>
                <c:pt idx="10">
                  <c:v>8.8476170745096592E-3</c:v>
                </c:pt>
                <c:pt idx="11">
                  <c:v>1.3851887314021637E-2</c:v>
                </c:pt>
                <c:pt idx="12">
                  <c:v>2.1686605618721058E-2</c:v>
                </c:pt>
                <c:pt idx="13">
                  <c:v>3.3952691976195291E-2</c:v>
                </c:pt>
                <c:pt idx="14">
                  <c:v>5.3156557217753302E-2</c:v>
                </c:pt>
                <c:pt idx="15">
                  <c:v>8.3222254577792004E-2</c:v>
                </c:pt>
                <c:pt idx="16">
                  <c:v>0.13029330753380103</c:v>
                </c:pt>
                <c:pt idx="17">
                  <c:v>0.20398805673101555</c:v>
                </c:pt>
                <c:pt idx="18">
                  <c:v>0.31936503936014637</c:v>
                </c:pt>
                <c:pt idx="19">
                  <c:v>0.50000000000000033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'Wksht.LCL,UCL'!$E$111</c:f>
              <c:strCache>
                <c:ptCount val="1"/>
                <c:pt idx="0">
                  <c:v>10%</c:v>
                </c:pt>
              </c:strCache>
            </c:strRef>
          </c:tx>
          <c:marker>
            <c:symbol val="none"/>
          </c:marker>
          <c:xVal>
            <c:numRef>
              <c:f>'Wksht.LCL,UCL'!$E$112:$E$131</c:f>
              <c:numCache>
                <c:formatCode>General</c:formatCode>
                <c:ptCount val="20"/>
                <c:pt idx="0">
                  <c:v>18.608729299535817</c:v>
                </c:pt>
                <c:pt idx="1">
                  <c:v>19.932234124045902</c:v>
                </c:pt>
                <c:pt idx="2">
                  <c:v>21.405211365379127</c:v>
                </c:pt>
                <c:pt idx="3">
                  <c:v>23.052855638210762</c:v>
                </c:pt>
                <c:pt idx="4">
                  <c:v>24.906295515411124</c:v>
                </c:pt>
                <c:pt idx="5">
                  <c:v>27.004448794958098</c:v>
                </c:pt>
                <c:pt idx="6">
                  <c:v>29.396620852846372</c:v>
                </c:pt>
                <c:pt idx="7">
                  <c:v>32.146218385830736</c:v>
                </c:pt>
                <c:pt idx="8">
                  <c:v>35.336180575502929</c:v>
                </c:pt>
                <c:pt idx="9">
                  <c:v>39.077132332129175</c:v>
                </c:pt>
                <c:pt idx="10">
                  <c:v>43.519997722127819</c:v>
                </c:pt>
                <c:pt idx="11">
                  <c:v>48.876208702520685</c:v>
                </c:pt>
                <c:pt idx="12">
                  <c:v>55.451447695955224</c:v>
                </c:pt>
                <c:pt idx="13">
                  <c:v>63.704847536882234</c:v>
                </c:pt>
                <c:pt idx="14">
                  <c:v>74.359343856448859</c:v>
                </c:pt>
                <c:pt idx="15">
                  <c:v>88.623647505534834</c:v>
                </c:pt>
                <c:pt idx="16">
                  <c:v>108.68518452379998</c:v>
                </c:pt>
                <c:pt idx="17">
                  <c:v>138.96300555823302</c:v>
                </c:pt>
                <c:pt idx="18">
                  <c:v>189.99006380690389</c:v>
                </c:pt>
                <c:pt idx="19">
                  <c:v>295.15358128414198</c:v>
                </c:pt>
              </c:numCache>
            </c:numRef>
          </c:xVal>
          <c:yVal>
            <c:numRef>
              <c:f>'Wksht.LCL,UCL'!$A$112:$A$131</c:f>
              <c:numCache>
                <c:formatCode>0.00%</c:formatCode>
                <c:ptCount val="20"/>
                <c:pt idx="0">
                  <c:v>1E-4</c:v>
                </c:pt>
                <c:pt idx="1">
                  <c:v>1.5656065579430965E-4</c:v>
                </c:pt>
                <c:pt idx="2">
                  <c:v>2.45112389427443E-4</c:v>
                </c:pt>
                <c:pt idx="3">
                  <c:v>3.8374956432070688E-4</c:v>
                </c:pt>
                <c:pt idx="4">
                  <c:v>6.0080083450830477E-4</c:v>
                </c:pt>
                <c:pt idx="5">
                  <c:v>9.4061772652388699E-4</c:v>
                </c:pt>
                <c:pt idx="6">
                  <c:v>1.4726372811633235E-3</c:v>
                </c:pt>
                <c:pt idx="7">
                  <c:v>2.3055705848607907E-3</c:v>
                </c:pt>
                <c:pt idx="8">
                  <c:v>3.6096164274587541E-3</c:v>
                </c:pt>
                <c:pt idx="9">
                  <c:v>5.6512391504885571E-3</c:v>
                </c:pt>
                <c:pt idx="10">
                  <c:v>8.8476170745096592E-3</c:v>
                </c:pt>
                <c:pt idx="11">
                  <c:v>1.3851887314021637E-2</c:v>
                </c:pt>
                <c:pt idx="12">
                  <c:v>2.1686605618721058E-2</c:v>
                </c:pt>
                <c:pt idx="13">
                  <c:v>3.3952691976195291E-2</c:v>
                </c:pt>
                <c:pt idx="14">
                  <c:v>5.3156557217753302E-2</c:v>
                </c:pt>
                <c:pt idx="15">
                  <c:v>8.3222254577792004E-2</c:v>
                </c:pt>
                <c:pt idx="16">
                  <c:v>0.13029330753380103</c:v>
                </c:pt>
                <c:pt idx="17">
                  <c:v>0.20398805673101555</c:v>
                </c:pt>
                <c:pt idx="18">
                  <c:v>0.31936503936014637</c:v>
                </c:pt>
                <c:pt idx="19">
                  <c:v>0.50000000000000033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'Wksht.LCL,UCL'!$F$111</c:f>
              <c:strCache>
                <c:ptCount val="1"/>
                <c:pt idx="0">
                  <c:v>5%</c:v>
                </c:pt>
              </c:strCache>
            </c:strRef>
          </c:tx>
          <c:marker>
            <c:symbol val="none"/>
          </c:marker>
          <c:xVal>
            <c:numRef>
              <c:f>'Wksht.LCL,UCL'!$F$112:$F$131</c:f>
              <c:numCache>
                <c:formatCode>General</c:formatCode>
                <c:ptCount val="20"/>
                <c:pt idx="0">
                  <c:v>36.259188534771077</c:v>
                </c:pt>
                <c:pt idx="1">
                  <c:v>38.363502978635864</c:v>
                </c:pt>
                <c:pt idx="2">
                  <c:v>40.687491005270147</c:v>
                </c:pt>
                <c:pt idx="3">
                  <c:v>43.267418191491515</c:v>
                </c:pt>
                <c:pt idx="4">
                  <c:v>46.148088360494363</c:v>
                </c:pt>
                <c:pt idx="5">
                  <c:v>49.3855288161053</c:v>
                </c:pt>
                <c:pt idx="6">
                  <c:v>53.050759226659281</c:v>
                </c:pt>
                <c:pt idx="7">
                  <c:v>57.23519134382687</c:v>
                </c:pt>
                <c:pt idx="8">
                  <c:v>62.058546976011939</c:v>
                </c:pt>
                <c:pt idx="9">
                  <c:v>67.680779853847397</c:v>
                </c:pt>
                <c:pt idx="10">
                  <c:v>74.320580573579818</c:v>
                </c:pt>
                <c:pt idx="11">
                  <c:v>82.285134675396847</c:v>
                </c:pt>
                <c:pt idx="12">
                  <c:v>92.020017309233239</c:v>
                </c:pt>
                <c:pt idx="13">
                  <c:v>104.19714503566067</c:v>
                </c:pt>
                <c:pt idx="14">
                  <c:v>119.87960834804554</c:v>
                </c:pt>
                <c:pt idx="15">
                  <c:v>140.85530067594286</c:v>
                </c:pt>
                <c:pt idx="16">
                  <c:v>170.38326820104464</c:v>
                </c:pt>
                <c:pt idx="17">
                  <c:v>215.10760583243481</c:v>
                </c:pt>
                <c:pt idx="18">
                  <c:v>291.05465593007392</c:v>
                </c:pt>
                <c:pt idx="19">
                  <c:v>449.89420003198717</c:v>
                </c:pt>
              </c:numCache>
            </c:numRef>
          </c:xVal>
          <c:yVal>
            <c:numRef>
              <c:f>'Wksht.LCL,UCL'!$A$112:$A$131</c:f>
              <c:numCache>
                <c:formatCode>0.00%</c:formatCode>
                <c:ptCount val="20"/>
                <c:pt idx="0">
                  <c:v>1E-4</c:v>
                </c:pt>
                <c:pt idx="1">
                  <c:v>1.5656065579430965E-4</c:v>
                </c:pt>
                <c:pt idx="2">
                  <c:v>2.45112389427443E-4</c:v>
                </c:pt>
                <c:pt idx="3">
                  <c:v>3.8374956432070688E-4</c:v>
                </c:pt>
                <c:pt idx="4">
                  <c:v>6.0080083450830477E-4</c:v>
                </c:pt>
                <c:pt idx="5">
                  <c:v>9.4061772652388699E-4</c:v>
                </c:pt>
                <c:pt idx="6">
                  <c:v>1.4726372811633235E-3</c:v>
                </c:pt>
                <c:pt idx="7">
                  <c:v>2.3055705848607907E-3</c:v>
                </c:pt>
                <c:pt idx="8">
                  <c:v>3.6096164274587541E-3</c:v>
                </c:pt>
                <c:pt idx="9">
                  <c:v>5.6512391504885571E-3</c:v>
                </c:pt>
                <c:pt idx="10">
                  <c:v>8.8476170745096592E-3</c:v>
                </c:pt>
                <c:pt idx="11">
                  <c:v>1.3851887314021637E-2</c:v>
                </c:pt>
                <c:pt idx="12">
                  <c:v>2.1686605618721058E-2</c:v>
                </c:pt>
                <c:pt idx="13">
                  <c:v>3.3952691976195291E-2</c:v>
                </c:pt>
                <c:pt idx="14">
                  <c:v>5.3156557217753302E-2</c:v>
                </c:pt>
                <c:pt idx="15">
                  <c:v>8.3222254577792004E-2</c:v>
                </c:pt>
                <c:pt idx="16">
                  <c:v>0.13029330753380103</c:v>
                </c:pt>
                <c:pt idx="17">
                  <c:v>0.20398805673101555</c:v>
                </c:pt>
                <c:pt idx="18">
                  <c:v>0.31936503936014637</c:v>
                </c:pt>
                <c:pt idx="19">
                  <c:v>0.50000000000000033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'Wksht.LCL,UCL'!$G$111</c:f>
              <c:strCache>
                <c:ptCount val="1"/>
                <c:pt idx="0">
                  <c:v>1%</c:v>
                </c:pt>
              </c:strCache>
            </c:strRef>
          </c:tx>
          <c:marker>
            <c:symbol val="none"/>
          </c:marker>
          <c:xVal>
            <c:numRef>
              <c:f>'Wksht.LCL,UCL'!$G$112:$G$131</c:f>
              <c:numCache>
                <c:formatCode>General</c:formatCode>
                <c:ptCount val="20"/>
                <c:pt idx="0">
                  <c:v>126.72131076210829</c:v>
                </c:pt>
                <c:pt idx="1">
                  <c:v>131.01909460176677</c:v>
                </c:pt>
                <c:pt idx="2">
                  <c:v>135.74022538082377</c:v>
                </c:pt>
                <c:pt idx="3">
                  <c:v>140.95546303678691</c:v>
                </c:pt>
                <c:pt idx="4">
                  <c:v>146.75253113572316</c:v>
                </c:pt>
                <c:pt idx="5">
                  <c:v>153.24153966887957</c:v>
                </c:pt>
                <c:pt idx="6">
                  <c:v>160.56262821302241</c:v>
                </c:pt>
                <c:pt idx="7">
                  <c:v>168.89696559800643</c:v>
                </c:pt>
                <c:pt idx="8">
                  <c:v>178.48295756935389</c:v>
                </c:pt>
                <c:pt idx="9">
                  <c:v>189.64077828139784</c:v>
                </c:pt>
                <c:pt idx="10">
                  <c:v>202.81066590735452</c:v>
                </c:pt>
                <c:pt idx="11">
                  <c:v>218.61489491179893</c:v>
                </c:pt>
                <c:pt idx="12">
                  <c:v>237.96241235098165</c:v>
                </c:pt>
                <c:pt idx="13">
                  <c:v>262.23474067617042</c:v>
                </c:pt>
                <c:pt idx="14">
                  <c:v>293.63751726969093</c:v>
                </c:pt>
                <c:pt idx="15">
                  <c:v>335.91945408664702</c:v>
                </c:pt>
                <c:pt idx="16">
                  <c:v>396.00060391620468</c:v>
                </c:pt>
                <c:pt idx="17">
                  <c:v>488.21096567438644</c:v>
                </c:pt>
                <c:pt idx="18">
                  <c:v>647.8296993023323</c:v>
                </c:pt>
                <c:pt idx="19">
                  <c:v>991.98451801267549</c:v>
                </c:pt>
              </c:numCache>
            </c:numRef>
          </c:xVal>
          <c:yVal>
            <c:numRef>
              <c:f>'Wksht.LCL,UCL'!$A$112:$A$131</c:f>
              <c:numCache>
                <c:formatCode>0.00%</c:formatCode>
                <c:ptCount val="20"/>
                <c:pt idx="0">
                  <c:v>1E-4</c:v>
                </c:pt>
                <c:pt idx="1">
                  <c:v>1.5656065579430965E-4</c:v>
                </c:pt>
                <c:pt idx="2">
                  <c:v>2.45112389427443E-4</c:v>
                </c:pt>
                <c:pt idx="3">
                  <c:v>3.8374956432070688E-4</c:v>
                </c:pt>
                <c:pt idx="4">
                  <c:v>6.0080083450830477E-4</c:v>
                </c:pt>
                <c:pt idx="5">
                  <c:v>9.4061772652388699E-4</c:v>
                </c:pt>
                <c:pt idx="6">
                  <c:v>1.4726372811633235E-3</c:v>
                </c:pt>
                <c:pt idx="7">
                  <c:v>2.3055705848607907E-3</c:v>
                </c:pt>
                <c:pt idx="8">
                  <c:v>3.6096164274587541E-3</c:v>
                </c:pt>
                <c:pt idx="9">
                  <c:v>5.6512391504885571E-3</c:v>
                </c:pt>
                <c:pt idx="10">
                  <c:v>8.8476170745096592E-3</c:v>
                </c:pt>
                <c:pt idx="11">
                  <c:v>1.3851887314021637E-2</c:v>
                </c:pt>
                <c:pt idx="12">
                  <c:v>2.1686605618721058E-2</c:v>
                </c:pt>
                <c:pt idx="13">
                  <c:v>3.3952691976195291E-2</c:v>
                </c:pt>
                <c:pt idx="14">
                  <c:v>5.3156557217753302E-2</c:v>
                </c:pt>
                <c:pt idx="15">
                  <c:v>8.3222254577792004E-2</c:v>
                </c:pt>
                <c:pt idx="16">
                  <c:v>0.13029330753380103</c:v>
                </c:pt>
                <c:pt idx="17">
                  <c:v>0.20398805673101555</c:v>
                </c:pt>
                <c:pt idx="18">
                  <c:v>0.31936503936014637</c:v>
                </c:pt>
                <c:pt idx="19">
                  <c:v>0.50000000000000033</c:v>
                </c:pt>
              </c:numCache>
            </c:numRef>
          </c:yVal>
          <c:smooth val="0"/>
        </c:ser>
        <c:ser>
          <c:idx val="6"/>
          <c:order val="6"/>
          <c:tx>
            <c:v>Probabilistic RfD</c:v>
          </c:tx>
          <c:spPr>
            <a:ln>
              <a:noFill/>
            </a:ln>
          </c:spPr>
          <c:marker>
            <c:symbol val="square"/>
            <c:size val="10"/>
          </c:marker>
          <c:xVal>
            <c:numRef>
              <c:f>'Wksht.LCL,UCL'!$A$58</c:f>
              <c:numCache>
                <c:formatCode>0.000</c:formatCode>
                <c:ptCount val="1"/>
                <c:pt idx="0">
                  <c:v>0.62157732456167225</c:v>
                </c:pt>
              </c:numCache>
            </c:numRef>
          </c:xVal>
          <c:yVal>
            <c:numRef>
              <c:f>'Wksht.LCL,UCL'!$B$60</c:f>
              <c:numCache>
                <c:formatCode>0%</c:formatCode>
                <c:ptCount val="1"/>
                <c:pt idx="0">
                  <c:v>0.01</c:v>
                </c:pt>
              </c:numCache>
            </c:numRef>
          </c:yVal>
          <c:smooth val="0"/>
        </c:ser>
        <c:ser>
          <c:idx val="8"/>
          <c:order val="7"/>
          <c:tx>
            <c:strRef>
              <c:f>'Wksht.LCL,UCL'!$I$111</c:f>
              <c:strCache>
                <c:ptCount val="1"/>
                <c:pt idx="0">
                  <c:v>Exposure estimate (optional)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'Wksht.LCL,UCL'!$I$112:$I$131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xVal>
          <c:yVal>
            <c:numRef>
              <c:f>'Wksht.LCL,UCL'!$A$112:$A$131</c:f>
              <c:numCache>
                <c:formatCode>0.00%</c:formatCode>
                <c:ptCount val="20"/>
                <c:pt idx="0">
                  <c:v>1E-4</c:v>
                </c:pt>
                <c:pt idx="1">
                  <c:v>1.5656065579430965E-4</c:v>
                </c:pt>
                <c:pt idx="2">
                  <c:v>2.45112389427443E-4</c:v>
                </c:pt>
                <c:pt idx="3">
                  <c:v>3.8374956432070688E-4</c:v>
                </c:pt>
                <c:pt idx="4">
                  <c:v>6.0080083450830477E-4</c:v>
                </c:pt>
                <c:pt idx="5">
                  <c:v>9.4061772652388699E-4</c:v>
                </c:pt>
                <c:pt idx="6">
                  <c:v>1.4726372811633235E-3</c:v>
                </c:pt>
                <c:pt idx="7">
                  <c:v>2.3055705848607907E-3</c:v>
                </c:pt>
                <c:pt idx="8">
                  <c:v>3.6096164274587541E-3</c:v>
                </c:pt>
                <c:pt idx="9">
                  <c:v>5.6512391504885571E-3</c:v>
                </c:pt>
                <c:pt idx="10">
                  <c:v>8.8476170745096592E-3</c:v>
                </c:pt>
                <c:pt idx="11">
                  <c:v>1.3851887314021637E-2</c:v>
                </c:pt>
                <c:pt idx="12">
                  <c:v>2.1686605618721058E-2</c:v>
                </c:pt>
                <c:pt idx="13">
                  <c:v>3.3952691976195291E-2</c:v>
                </c:pt>
                <c:pt idx="14">
                  <c:v>5.3156557217753302E-2</c:v>
                </c:pt>
                <c:pt idx="15">
                  <c:v>8.3222254577792004E-2</c:v>
                </c:pt>
                <c:pt idx="16">
                  <c:v>0.13029330753380103</c:v>
                </c:pt>
                <c:pt idx="17">
                  <c:v>0.20398805673101555</c:v>
                </c:pt>
                <c:pt idx="18">
                  <c:v>0.31936503936014637</c:v>
                </c:pt>
                <c:pt idx="19">
                  <c:v>0.50000000000000033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'Wksht.LCL,UCL'!$H$111</c:f>
              <c:strCache>
                <c:ptCount val="1"/>
                <c:pt idx="0">
                  <c:v>Deterministic RfD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'Wksht.LCL,UCL'!$H$112:$H$131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xVal>
          <c:yVal>
            <c:numRef>
              <c:f>'Wksht.LCL,UCL'!$A$112:$A$131</c:f>
              <c:numCache>
                <c:formatCode>0.00%</c:formatCode>
                <c:ptCount val="20"/>
                <c:pt idx="0">
                  <c:v>1E-4</c:v>
                </c:pt>
                <c:pt idx="1">
                  <c:v>1.5656065579430965E-4</c:v>
                </c:pt>
                <c:pt idx="2">
                  <c:v>2.45112389427443E-4</c:v>
                </c:pt>
                <c:pt idx="3">
                  <c:v>3.8374956432070688E-4</c:v>
                </c:pt>
                <c:pt idx="4">
                  <c:v>6.0080083450830477E-4</c:v>
                </c:pt>
                <c:pt idx="5">
                  <c:v>9.4061772652388699E-4</c:v>
                </c:pt>
                <c:pt idx="6">
                  <c:v>1.4726372811633235E-3</c:v>
                </c:pt>
                <c:pt idx="7">
                  <c:v>2.3055705848607907E-3</c:v>
                </c:pt>
                <c:pt idx="8">
                  <c:v>3.6096164274587541E-3</c:v>
                </c:pt>
                <c:pt idx="9">
                  <c:v>5.6512391504885571E-3</c:v>
                </c:pt>
                <c:pt idx="10">
                  <c:v>8.8476170745096592E-3</c:v>
                </c:pt>
                <c:pt idx="11">
                  <c:v>1.3851887314021637E-2</c:v>
                </c:pt>
                <c:pt idx="12">
                  <c:v>2.1686605618721058E-2</c:v>
                </c:pt>
                <c:pt idx="13">
                  <c:v>3.3952691976195291E-2</c:v>
                </c:pt>
                <c:pt idx="14">
                  <c:v>5.3156557217753302E-2</c:v>
                </c:pt>
                <c:pt idx="15">
                  <c:v>8.3222254577792004E-2</c:v>
                </c:pt>
                <c:pt idx="16">
                  <c:v>0.13029330753380103</c:v>
                </c:pt>
                <c:pt idx="17">
                  <c:v>0.20398805673101555</c:v>
                </c:pt>
                <c:pt idx="18">
                  <c:v>0.31936503936014637</c:v>
                </c:pt>
                <c:pt idx="19">
                  <c:v>0.50000000000000033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921152"/>
        <c:axId val="149927424"/>
      </c:scatterChart>
      <c:valAx>
        <c:axId val="149921152"/>
        <c:scaling>
          <c:logBase val="10"/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DE" sz="1100" b="1" i="0" u="none" strike="noStrike" baseline="0">
                    <a:solidFill>
                      <a:srgbClr val="000000"/>
                    </a:solidFill>
                    <a:latin typeface="Calibri"/>
                  </a:rPr>
                  <a:t>Target Human Dose (HD</a:t>
                </a:r>
                <a:r>
                  <a:rPr lang="de-DE" sz="1100" b="1" i="0" u="none" strike="noStrike" baseline="-25000">
                    <a:solidFill>
                      <a:srgbClr val="000000"/>
                    </a:solidFill>
                    <a:latin typeface="Calibri"/>
                  </a:rPr>
                  <a:t>M</a:t>
                </a:r>
                <a:r>
                  <a:rPr lang="de-DE" sz="1100" b="1" i="0" u="none" strike="noStrike" baseline="30000">
                    <a:solidFill>
                      <a:srgbClr val="000000"/>
                    </a:solidFill>
                    <a:latin typeface="Calibri"/>
                  </a:rPr>
                  <a:t>I</a:t>
                </a:r>
                <a:r>
                  <a:rPr lang="de-DE" sz="1100" b="1" i="0" u="none" strike="noStrike" baseline="0">
                    <a:solidFill>
                      <a:srgbClr val="000000"/>
                    </a:solidFill>
                    <a:latin typeface="Calibri"/>
                  </a:rPr>
                  <a:t>) at different % coverage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49927424"/>
        <c:crosses val="max"/>
        <c:crossBetween val="midCat"/>
      </c:valAx>
      <c:valAx>
        <c:axId val="149927424"/>
        <c:scaling>
          <c:logBase val="10"/>
          <c:orientation val="minMax"/>
          <c:max val="1"/>
        </c:scaling>
        <c:delete val="0"/>
        <c:axPos val="r"/>
        <c:maj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DE" sz="1100" b="1" i="0" u="none" strike="noStrike" baseline="0">
                    <a:solidFill>
                      <a:srgbClr val="000000"/>
                    </a:solidFill>
                    <a:latin typeface="Calibri"/>
                  </a:rPr>
                  <a:t>Incidence </a:t>
                </a:r>
                <a:r>
                  <a:rPr lang="de-DE" sz="1100" b="1" i="1" u="none" strike="noStrike" baseline="0">
                    <a:solidFill>
                      <a:srgbClr val="000000"/>
                    </a:solidFill>
                    <a:latin typeface="Calibri"/>
                  </a:rPr>
                  <a:t>I</a:t>
                </a:r>
                <a:r>
                  <a:rPr lang="de-DE" sz="1100" b="1" i="0" u="none" strike="noStrike" baseline="0">
                    <a:solidFill>
                      <a:srgbClr val="000000"/>
                    </a:solidFill>
                    <a:latin typeface="Calibri"/>
                  </a:rPr>
                  <a:t> of magnitude ≥ </a:t>
                </a:r>
                <a:r>
                  <a:rPr lang="de-DE" sz="1100" b="1" i="1" u="none" strike="noStrike" baseline="0">
                    <a:solidFill>
                      <a:srgbClr val="000000"/>
                    </a:solidFill>
                    <a:latin typeface="Calibri"/>
                  </a:rPr>
                  <a:t>M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%" sourceLinked="1"/>
        <c:majorTickMark val="out"/>
        <c:minorTickMark val="out"/>
        <c:tickLblPos val="nextTo"/>
        <c:crossAx val="149921152"/>
        <c:crosses val="max"/>
        <c:crossBetween val="midCat"/>
      </c:valAx>
      <c:spPr>
        <a:ln w="158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4.2641019010742867E-2"/>
          <c:y val="0.84580686164005292"/>
          <c:w val="0.93397586800949695"/>
          <c:h val="0.13151956561695191"/>
        </c:manualLayout>
      </c:layout>
      <c:overlay val="0"/>
      <c:txPr>
        <a:bodyPr/>
        <a:lstStyle/>
        <a:p>
          <a:pPr>
            <a:defRPr sz="800"/>
          </a:pPr>
          <a:endParaRPr lang="nl-NL"/>
        </a:p>
      </c:txPr>
    </c:legend>
    <c:plotVisOnly val="1"/>
    <c:dispBlanksAs val="gap"/>
    <c:showDLblsOverMax val="0"/>
  </c:chart>
  <c:txPr>
    <a:bodyPr/>
    <a:lstStyle/>
    <a:p>
      <a:pPr>
        <a:defRPr sz="1100"/>
      </a:pPr>
      <a:endParaRPr lang="nl-NL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Expo!$H$50</c:f>
          <c:strCache>
            <c:ptCount val="1"/>
            <c:pt idx="0">
              <c:v>WARNING: units of exposure  and human taget dose differ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9997790317278101E-2"/>
          <c:y val="9.2749999999999999E-2"/>
          <c:w val="0.781942688375452"/>
          <c:h val="0.78015288713910758"/>
        </c:manualLayout>
      </c:layout>
      <c:scatterChart>
        <c:scatterStyle val="smoothMarker"/>
        <c:varyColors val="0"/>
        <c:ser>
          <c:idx val="57"/>
          <c:order val="0"/>
          <c:tx>
            <c:strRef>
              <c:f>Expo!$R$55</c:f>
              <c:strCache>
                <c:ptCount val="1"/>
                <c:pt idx="0">
                  <c:v>1% --some name1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Expo!$E$63:$E$135</c:f>
              <c:numCache>
                <c:formatCode>General</c:formatCode>
                <c:ptCount val="73"/>
                <c:pt idx="0">
                  <c:v>2</c:v>
                </c:pt>
                <c:pt idx="1">
                  <c:v>1.9942920471376184</c:v>
                </c:pt>
                <c:pt idx="2">
                  <c:v>1.977211629518312</c:v>
                </c:pt>
                <c:pt idx="3">
                  <c:v>1.9488887394336025</c:v>
                </c:pt>
                <c:pt idx="4">
                  <c:v>1.9095389311788626</c:v>
                </c:pt>
                <c:pt idx="5">
                  <c:v>1.8594616805549748</c:v>
                </c:pt>
                <c:pt idx="6">
                  <c:v>1.799038105676658</c:v>
                </c:pt>
                <c:pt idx="7">
                  <c:v>1.7287280664334876</c:v>
                </c:pt>
                <c:pt idx="8">
                  <c:v>1.6490666646784671</c:v>
                </c:pt>
                <c:pt idx="9">
                  <c:v>1.5606601717798214</c:v>
                </c:pt>
                <c:pt idx="10">
                  <c:v>1.4641814145298091</c:v>
                </c:pt>
                <c:pt idx="11">
                  <c:v>1.3603646545265693</c:v>
                </c:pt>
                <c:pt idx="12">
                  <c:v>1.2500000000000002</c:v>
                </c:pt>
                <c:pt idx="13">
                  <c:v>1.1339273926110491</c:v>
                </c:pt>
                <c:pt idx="14">
                  <c:v>1.0130302149885031</c:v>
                </c:pt>
                <c:pt idx="15">
                  <c:v>0.88822856765378111</c:v>
                </c:pt>
                <c:pt idx="16">
                  <c:v>0.76047226650039557</c:v>
                </c:pt>
                <c:pt idx="17">
                  <c:v>0.63073361412148721</c:v>
                </c:pt>
                <c:pt idx="18">
                  <c:v>0.50000000000000011</c:v>
                </c:pt>
                <c:pt idx="19">
                  <c:v>0.36926638587851268</c:v>
                </c:pt>
                <c:pt idx="20">
                  <c:v>0.23952773349960454</c:v>
                </c:pt>
                <c:pt idx="21">
                  <c:v>0.11177143234621872</c:v>
                </c:pt>
                <c:pt idx="22">
                  <c:v>-1.3030214988503097E-2</c:v>
                </c:pt>
                <c:pt idx="23">
                  <c:v>-0.13392739261104902</c:v>
                </c:pt>
                <c:pt idx="24">
                  <c:v>-0.24999999999999967</c:v>
                </c:pt>
                <c:pt idx="25">
                  <c:v>-0.36036465452656874</c:v>
                </c:pt>
                <c:pt idx="26">
                  <c:v>-0.4641814145298091</c:v>
                </c:pt>
                <c:pt idx="27">
                  <c:v>-0.56066017177982119</c:v>
                </c:pt>
                <c:pt idx="28">
                  <c:v>-0.64906666467846685</c:v>
                </c:pt>
                <c:pt idx="29">
                  <c:v>-0.72872806643348742</c:v>
                </c:pt>
                <c:pt idx="30">
                  <c:v>-0.79903810567665801</c:v>
                </c:pt>
                <c:pt idx="31">
                  <c:v>-0.85946168055497485</c:v>
                </c:pt>
                <c:pt idx="32">
                  <c:v>-0.90953893117886242</c:v>
                </c:pt>
                <c:pt idx="33">
                  <c:v>-0.9488887394336023</c:v>
                </c:pt>
                <c:pt idx="34">
                  <c:v>-0.97721162951831197</c:v>
                </c:pt>
                <c:pt idx="35">
                  <c:v>-0.99429204713761843</c:v>
                </c:pt>
                <c:pt idx="36">
                  <c:v>-1</c:v>
                </c:pt>
                <c:pt idx="37">
                  <c:v>-0.99429204713761843</c:v>
                </c:pt>
                <c:pt idx="38">
                  <c:v>-0.97721162951831197</c:v>
                </c:pt>
                <c:pt idx="39">
                  <c:v>-0.94888873943360252</c:v>
                </c:pt>
                <c:pt idx="40">
                  <c:v>-0.90953893117886264</c:v>
                </c:pt>
                <c:pt idx="41">
                  <c:v>-0.85946168055497507</c:v>
                </c:pt>
                <c:pt idx="42">
                  <c:v>-0.79903810567665801</c:v>
                </c:pt>
                <c:pt idx="43">
                  <c:v>-0.72872806643348809</c:v>
                </c:pt>
                <c:pt idx="44">
                  <c:v>-0.64906666467846708</c:v>
                </c:pt>
                <c:pt idx="45">
                  <c:v>-0.56066017177982141</c:v>
                </c:pt>
                <c:pt idx="46">
                  <c:v>-0.46418141452980921</c:v>
                </c:pt>
                <c:pt idx="47">
                  <c:v>-0.36036465452656952</c:v>
                </c:pt>
                <c:pt idx="48">
                  <c:v>-0.25000000000000067</c:v>
                </c:pt>
                <c:pt idx="49">
                  <c:v>-0.13392739261104991</c:v>
                </c:pt>
                <c:pt idx="50">
                  <c:v>-1.3030214988504096E-2</c:v>
                </c:pt>
                <c:pt idx="51">
                  <c:v>0.11177143234621906</c:v>
                </c:pt>
                <c:pt idx="52">
                  <c:v>0.23952773349960449</c:v>
                </c:pt>
                <c:pt idx="53">
                  <c:v>0.36926638587851263</c:v>
                </c:pt>
                <c:pt idx="54">
                  <c:v>0.49999999999999972</c:v>
                </c:pt>
                <c:pt idx="55">
                  <c:v>0.63073361412148676</c:v>
                </c:pt>
                <c:pt idx="56">
                  <c:v>0.7604722665003949</c:v>
                </c:pt>
                <c:pt idx="57">
                  <c:v>0.88822856765378166</c:v>
                </c:pt>
                <c:pt idx="58">
                  <c:v>1.0130302149885022</c:v>
                </c:pt>
                <c:pt idx="59">
                  <c:v>1.1339273926110494</c:v>
                </c:pt>
                <c:pt idx="60">
                  <c:v>1.2500000000000002</c:v>
                </c:pt>
                <c:pt idx="61">
                  <c:v>1.3603646545265691</c:v>
                </c:pt>
                <c:pt idx="62">
                  <c:v>1.4641814145298089</c:v>
                </c:pt>
                <c:pt idx="63">
                  <c:v>1.560660171779821</c:v>
                </c:pt>
                <c:pt idx="64">
                  <c:v>1.6490666646784666</c:v>
                </c:pt>
                <c:pt idx="65">
                  <c:v>1.7287280664334874</c:v>
                </c:pt>
                <c:pt idx="66">
                  <c:v>1.7990381056766576</c:v>
                </c:pt>
                <c:pt idx="67">
                  <c:v>1.8594616805549746</c:v>
                </c:pt>
                <c:pt idx="68">
                  <c:v>1.9095389311788626</c:v>
                </c:pt>
                <c:pt idx="69">
                  <c:v>1.9488887394336025</c:v>
                </c:pt>
                <c:pt idx="70">
                  <c:v>1.9772116295183118</c:v>
                </c:pt>
                <c:pt idx="71">
                  <c:v>1.9942920471376184</c:v>
                </c:pt>
                <c:pt idx="72">
                  <c:v>2</c:v>
                </c:pt>
              </c:numCache>
            </c:numRef>
          </c:xVal>
          <c:yVal>
            <c:numRef>
              <c:f>Expo!$F$63:$F$135</c:f>
              <c:numCache>
                <c:formatCode>General</c:formatCode>
                <c:ptCount val="73"/>
                <c:pt idx="0">
                  <c:v>0.83814847520822522</c:v>
                </c:pt>
                <c:pt idx="1">
                  <c:v>0.9291960105639846</c:v>
                </c:pt>
                <c:pt idx="2">
                  <c:v>1.0195506191996817</c:v>
                </c:pt>
                <c:pt idx="3">
                  <c:v>1.1085246479859945</c:v>
                </c:pt>
                <c:pt idx="4">
                  <c:v>1.1954409508398718</c:v>
                </c:pt>
                <c:pt idx="5">
                  <c:v>1.2796380422150968</c:v>
                </c:pt>
                <c:pt idx="6">
                  <c:v>1.3604751314067105</c:v>
                </c:pt>
                <c:pt idx="7">
                  <c:v>1.4373369993551957</c:v>
                </c:pt>
                <c:pt idx="8">
                  <c:v>1.5096386808349997</c:v>
                </c:pt>
                <c:pt idx="9">
                  <c:v>1.5768299163931121</c:v>
                </c:pt>
                <c:pt idx="10">
                  <c:v>1.6383993401557584</c:v>
                </c:pt>
                <c:pt idx="11">
                  <c:v>1.6938783716314707</c:v>
                </c:pt>
                <c:pt idx="12">
                  <c:v>1.7428447818915631</c:v>
                </c:pt>
                <c:pt idx="13">
                  <c:v>1.7849259069872301</c:v>
                </c:pt>
                <c:pt idx="14">
                  <c:v>1.8198014841472148</c:v>
                </c:pt>
                <c:pt idx="15">
                  <c:v>1.8472060891708812</c:v>
                </c:pt>
                <c:pt idx="16">
                  <c:v>1.8669311564666464</c:v>
                </c:pt>
                <c:pt idx="17">
                  <c:v>1.8788265663620676</c:v>
                </c:pt>
                <c:pt idx="18">
                  <c:v>1.8828017876051959</c:v>
                </c:pt>
                <c:pt idx="19">
                  <c:v>1.8788265663620676</c:v>
                </c:pt>
                <c:pt idx="20">
                  <c:v>1.8669311564666464</c:v>
                </c:pt>
                <c:pt idx="21">
                  <c:v>1.8472060891708812</c:v>
                </c:pt>
                <c:pt idx="22">
                  <c:v>1.819801484147215</c:v>
                </c:pt>
                <c:pt idx="23">
                  <c:v>1.7849259069872301</c:v>
                </c:pt>
                <c:pt idx="24">
                  <c:v>1.7428447818915633</c:v>
                </c:pt>
                <c:pt idx="25">
                  <c:v>1.6938783716314707</c:v>
                </c:pt>
                <c:pt idx="26">
                  <c:v>1.6383993401557584</c:v>
                </c:pt>
                <c:pt idx="27">
                  <c:v>1.5768299163931121</c:v>
                </c:pt>
                <c:pt idx="28">
                  <c:v>1.5096386808349997</c:v>
                </c:pt>
                <c:pt idx="29">
                  <c:v>1.4373369993551961</c:v>
                </c:pt>
                <c:pt idx="30">
                  <c:v>1.3604751314067105</c:v>
                </c:pt>
                <c:pt idx="31">
                  <c:v>1.279638042215097</c:v>
                </c:pt>
                <c:pt idx="32">
                  <c:v>1.1954409508398718</c:v>
                </c:pt>
                <c:pt idx="33">
                  <c:v>1.1085246479859947</c:v>
                </c:pt>
                <c:pt idx="34">
                  <c:v>1.0195506191996817</c:v>
                </c:pt>
                <c:pt idx="35">
                  <c:v>0.92919601056398504</c:v>
                </c:pt>
                <c:pt idx="36">
                  <c:v>0.83814847520822533</c:v>
                </c:pt>
                <c:pt idx="37">
                  <c:v>0.74710093985246606</c:v>
                </c:pt>
                <c:pt idx="38">
                  <c:v>0.65674633121676862</c:v>
                </c:pt>
                <c:pt idx="39">
                  <c:v>0.5677723024304564</c:v>
                </c:pt>
                <c:pt idx="40">
                  <c:v>0.48085599957657876</c:v>
                </c:pt>
                <c:pt idx="41">
                  <c:v>0.39665890820135374</c:v>
                </c:pt>
                <c:pt idx="42">
                  <c:v>0.31582181900973971</c:v>
                </c:pt>
                <c:pt idx="43">
                  <c:v>0.23895995106125489</c:v>
                </c:pt>
                <c:pt idx="44">
                  <c:v>0.1666582695814508</c:v>
                </c:pt>
                <c:pt idx="45">
                  <c:v>9.9467034023338341E-2</c:v>
                </c:pt>
                <c:pt idx="46">
                  <c:v>3.789761026069205E-2</c:v>
                </c:pt>
                <c:pt idx="47">
                  <c:v>-1.7581421215019932E-2</c:v>
                </c:pt>
                <c:pt idx="48">
                  <c:v>-6.6547831475112451E-2</c:v>
                </c:pt>
                <c:pt idx="49">
                  <c:v>-0.10862895657077931</c:v>
                </c:pt>
                <c:pt idx="50">
                  <c:v>-0.14350453373076433</c:v>
                </c:pt>
                <c:pt idx="51">
                  <c:v>-0.17090913875443092</c:v>
                </c:pt>
                <c:pt idx="52">
                  <c:v>-0.19063420605019588</c:v>
                </c:pt>
                <c:pt idx="53">
                  <c:v>-0.20252961594561703</c:v>
                </c:pt>
                <c:pt idx="54">
                  <c:v>-0.20650483718874557</c:v>
                </c:pt>
                <c:pt idx="55">
                  <c:v>-0.20252961594561703</c:v>
                </c:pt>
                <c:pt idx="56">
                  <c:v>-0.19063420605019588</c:v>
                </c:pt>
                <c:pt idx="57">
                  <c:v>-0.17090913875443092</c:v>
                </c:pt>
                <c:pt idx="58">
                  <c:v>-0.14350453373076466</c:v>
                </c:pt>
                <c:pt idx="59">
                  <c:v>-0.10862895657077953</c:v>
                </c:pt>
                <c:pt idx="60">
                  <c:v>-6.6547831475112673E-2</c:v>
                </c:pt>
                <c:pt idx="61">
                  <c:v>-1.7581421215020154E-2</c:v>
                </c:pt>
                <c:pt idx="62">
                  <c:v>3.7897610260691827E-2</c:v>
                </c:pt>
                <c:pt idx="63">
                  <c:v>9.9467034023338119E-2</c:v>
                </c:pt>
                <c:pt idx="64">
                  <c:v>0.16665826958145047</c:v>
                </c:pt>
                <c:pt idx="65">
                  <c:v>0.23895995106125423</c:v>
                </c:pt>
                <c:pt idx="66">
                  <c:v>0.31582181900973938</c:v>
                </c:pt>
                <c:pt idx="67">
                  <c:v>0.39665890820135297</c:v>
                </c:pt>
                <c:pt idx="68">
                  <c:v>0.48085599957657882</c:v>
                </c:pt>
                <c:pt idx="69">
                  <c:v>0.56777230243045596</c:v>
                </c:pt>
                <c:pt idx="70">
                  <c:v>0.65674633121676784</c:v>
                </c:pt>
                <c:pt idx="71">
                  <c:v>0.74710093985246573</c:v>
                </c:pt>
                <c:pt idx="72">
                  <c:v>0.838148475208225</c:v>
                </c:pt>
              </c:numCache>
            </c:numRef>
          </c:yVal>
          <c:smooth val="1"/>
        </c:ser>
        <c:ser>
          <c:idx val="58"/>
          <c:order val="1"/>
          <c:tx>
            <c:strRef>
              <c:f>Expo!$R$56</c:f>
              <c:strCache>
                <c:ptCount val="1"/>
                <c:pt idx="0">
                  <c:v>1% --some name2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Expo!$K$63:$K$135</c:f>
              <c:numCache>
                <c:formatCode>General</c:formatCode>
                <c:ptCount val="73"/>
                <c:pt idx="0">
                  <c:v>0</c:v>
                </c:pt>
                <c:pt idx="1">
                  <c:v>-5.7079528623815712E-3</c:v>
                </c:pt>
                <c:pt idx="2">
                  <c:v>-2.2788370481688025E-2</c:v>
                </c:pt>
                <c:pt idx="3">
                  <c:v>-5.1111260566397476E-2</c:v>
                </c:pt>
                <c:pt idx="4">
                  <c:v>-9.0461068821137358E-2</c:v>
                </c:pt>
                <c:pt idx="5">
                  <c:v>-0.14053831944502515</c:v>
                </c:pt>
                <c:pt idx="6">
                  <c:v>-0.20096189432334199</c:v>
                </c:pt>
                <c:pt idx="7">
                  <c:v>-0.27127193356651236</c:v>
                </c:pt>
                <c:pt idx="8">
                  <c:v>-0.35093333532153292</c:v>
                </c:pt>
                <c:pt idx="9">
                  <c:v>-0.43933982822017859</c:v>
                </c:pt>
                <c:pt idx="10">
                  <c:v>-0.5358185854701909</c:v>
                </c:pt>
                <c:pt idx="11">
                  <c:v>-0.63963534547343071</c:v>
                </c:pt>
                <c:pt idx="12">
                  <c:v>-0.74999999999999978</c:v>
                </c:pt>
                <c:pt idx="13">
                  <c:v>-0.86607260738895087</c:v>
                </c:pt>
                <c:pt idx="14">
                  <c:v>-0.98696978501149679</c:v>
                </c:pt>
                <c:pt idx="15">
                  <c:v>-1.1117714323462189</c:v>
                </c:pt>
                <c:pt idx="16">
                  <c:v>-1.2395277334996044</c:v>
                </c:pt>
                <c:pt idx="17">
                  <c:v>-1.3692663858785128</c:v>
                </c:pt>
                <c:pt idx="18">
                  <c:v>-1.4999999999999998</c:v>
                </c:pt>
                <c:pt idx="19">
                  <c:v>-1.7178893568691456</c:v>
                </c:pt>
                <c:pt idx="20">
                  <c:v>-1.9341204441673256</c:v>
                </c:pt>
                <c:pt idx="21">
                  <c:v>-2.1470476127563023</c:v>
                </c:pt>
                <c:pt idx="22">
                  <c:v>-2.3550503583141715</c:v>
                </c:pt>
                <c:pt idx="23">
                  <c:v>-2.5565456543517486</c:v>
                </c:pt>
                <c:pt idx="24">
                  <c:v>-2.7499999999999996</c:v>
                </c:pt>
                <c:pt idx="25">
                  <c:v>-2.9339410908776147</c:v>
                </c:pt>
                <c:pt idx="26">
                  <c:v>-3.1069690242163484</c:v>
                </c:pt>
                <c:pt idx="27">
                  <c:v>-3.2677669529663689</c:v>
                </c:pt>
                <c:pt idx="28">
                  <c:v>-3.4151111077974448</c:v>
                </c:pt>
                <c:pt idx="29">
                  <c:v>-3.5478801107224789</c:v>
                </c:pt>
                <c:pt idx="30">
                  <c:v>-3.6650635094610968</c:v>
                </c:pt>
                <c:pt idx="31">
                  <c:v>-3.7657694675916247</c:v>
                </c:pt>
                <c:pt idx="32">
                  <c:v>-3.8492315519647708</c:v>
                </c:pt>
                <c:pt idx="33">
                  <c:v>-3.9148145657226703</c:v>
                </c:pt>
                <c:pt idx="34">
                  <c:v>-3.9620193825305199</c:v>
                </c:pt>
                <c:pt idx="35">
                  <c:v>-3.9904867452293638</c:v>
                </c:pt>
                <c:pt idx="36">
                  <c:v>-4</c:v>
                </c:pt>
                <c:pt idx="37">
                  <c:v>-3.9904867452293638</c:v>
                </c:pt>
                <c:pt idx="38">
                  <c:v>-3.9620193825305199</c:v>
                </c:pt>
                <c:pt idx="39">
                  <c:v>-3.9148145657226712</c:v>
                </c:pt>
                <c:pt idx="40">
                  <c:v>-3.8492315519647713</c:v>
                </c:pt>
                <c:pt idx="41">
                  <c:v>-3.7657694675916251</c:v>
                </c:pt>
                <c:pt idx="42">
                  <c:v>-3.6650635094610964</c:v>
                </c:pt>
                <c:pt idx="43">
                  <c:v>-3.5478801107224802</c:v>
                </c:pt>
                <c:pt idx="44">
                  <c:v>-3.4151111077974452</c:v>
                </c:pt>
                <c:pt idx="45">
                  <c:v>-3.2677669529663693</c:v>
                </c:pt>
                <c:pt idx="46">
                  <c:v>-3.1069690242163488</c:v>
                </c:pt>
                <c:pt idx="47">
                  <c:v>-2.933941090877616</c:v>
                </c:pt>
                <c:pt idx="48">
                  <c:v>-2.7500000000000009</c:v>
                </c:pt>
                <c:pt idx="49">
                  <c:v>-2.55654565435175</c:v>
                </c:pt>
                <c:pt idx="50">
                  <c:v>-2.3550503583141733</c:v>
                </c:pt>
                <c:pt idx="51">
                  <c:v>-2.1470476127563014</c:v>
                </c:pt>
                <c:pt idx="52">
                  <c:v>-1.9341204441673259</c:v>
                </c:pt>
                <c:pt idx="53">
                  <c:v>-1.7178893568691456</c:v>
                </c:pt>
                <c:pt idx="54">
                  <c:v>-1.5000000000000002</c:v>
                </c:pt>
                <c:pt idx="55">
                  <c:v>-1.3692663858785132</c:v>
                </c:pt>
                <c:pt idx="56">
                  <c:v>-1.2395277334996051</c:v>
                </c:pt>
                <c:pt idx="57">
                  <c:v>-1.1117714323462184</c:v>
                </c:pt>
                <c:pt idx="58">
                  <c:v>-0.98696978501149779</c:v>
                </c:pt>
                <c:pt idx="59">
                  <c:v>-0.86607260738895064</c:v>
                </c:pt>
                <c:pt idx="60">
                  <c:v>-0.74999999999999978</c:v>
                </c:pt>
                <c:pt idx="61">
                  <c:v>-0.63963534547343093</c:v>
                </c:pt>
                <c:pt idx="62">
                  <c:v>-0.53581858547019112</c:v>
                </c:pt>
                <c:pt idx="63">
                  <c:v>-0.43933982822017903</c:v>
                </c:pt>
                <c:pt idx="64">
                  <c:v>-0.35093333532153337</c:v>
                </c:pt>
                <c:pt idx="65">
                  <c:v>-0.27127193356651258</c:v>
                </c:pt>
                <c:pt idx="66">
                  <c:v>-0.20096189432334244</c:v>
                </c:pt>
                <c:pt idx="67">
                  <c:v>-0.14053831944502537</c:v>
                </c:pt>
                <c:pt idx="68">
                  <c:v>-9.0461068821137358E-2</c:v>
                </c:pt>
                <c:pt idx="69">
                  <c:v>-5.1111260566397476E-2</c:v>
                </c:pt>
                <c:pt idx="70">
                  <c:v>-2.2788370481688247E-2</c:v>
                </c:pt>
                <c:pt idx="71">
                  <c:v>-5.7079528623815712E-3</c:v>
                </c:pt>
                <c:pt idx="72">
                  <c:v>0</c:v>
                </c:pt>
              </c:numCache>
            </c:numRef>
          </c:xVal>
          <c:yVal>
            <c:numRef>
              <c:f>Expo!$L$63:$L$135</c:f>
              <c:numCache>
                <c:formatCode>General</c:formatCode>
                <c:ptCount val="73"/>
                <c:pt idx="0">
                  <c:v>0.83814847520822522</c:v>
                </c:pt>
                <c:pt idx="1">
                  <c:v>0.9291960105639846</c:v>
                </c:pt>
                <c:pt idx="2">
                  <c:v>1.0195506191996817</c:v>
                </c:pt>
                <c:pt idx="3">
                  <c:v>1.1085246479859945</c:v>
                </c:pt>
                <c:pt idx="4">
                  <c:v>1.1954409508398718</c:v>
                </c:pt>
                <c:pt idx="5">
                  <c:v>1.2796380422150968</c:v>
                </c:pt>
                <c:pt idx="6">
                  <c:v>1.3604751314067105</c:v>
                </c:pt>
                <c:pt idx="7">
                  <c:v>1.4373369993551957</c:v>
                </c:pt>
                <c:pt idx="8">
                  <c:v>1.5096386808349997</c:v>
                </c:pt>
                <c:pt idx="9">
                  <c:v>1.5768299163931121</c:v>
                </c:pt>
                <c:pt idx="10">
                  <c:v>1.6383993401557584</c:v>
                </c:pt>
                <c:pt idx="11">
                  <c:v>1.6938783716314707</c:v>
                </c:pt>
                <c:pt idx="12">
                  <c:v>1.7428447818915631</c:v>
                </c:pt>
                <c:pt idx="13">
                  <c:v>1.7849259069872301</c:v>
                </c:pt>
                <c:pt idx="14">
                  <c:v>1.8198014841472148</c:v>
                </c:pt>
                <c:pt idx="15">
                  <c:v>1.8472060891708812</c:v>
                </c:pt>
                <c:pt idx="16">
                  <c:v>1.8669311564666464</c:v>
                </c:pt>
                <c:pt idx="17">
                  <c:v>1.8788265663620676</c:v>
                </c:pt>
                <c:pt idx="18">
                  <c:v>1.8828017876051959</c:v>
                </c:pt>
                <c:pt idx="19">
                  <c:v>1.8788265663620676</c:v>
                </c:pt>
                <c:pt idx="20">
                  <c:v>1.8669311564666464</c:v>
                </c:pt>
                <c:pt idx="21">
                  <c:v>1.8472060891708812</c:v>
                </c:pt>
                <c:pt idx="22">
                  <c:v>1.819801484147215</c:v>
                </c:pt>
                <c:pt idx="23">
                  <c:v>1.7849259069872301</c:v>
                </c:pt>
                <c:pt idx="24">
                  <c:v>1.7428447818915633</c:v>
                </c:pt>
                <c:pt idx="25">
                  <c:v>1.6938783716314707</c:v>
                </c:pt>
                <c:pt idx="26">
                  <c:v>1.6383993401557584</c:v>
                </c:pt>
                <c:pt idx="27">
                  <c:v>1.5768299163931121</c:v>
                </c:pt>
                <c:pt idx="28">
                  <c:v>1.5096386808349997</c:v>
                </c:pt>
                <c:pt idx="29">
                  <c:v>1.4373369993551961</c:v>
                </c:pt>
                <c:pt idx="30">
                  <c:v>1.3604751314067105</c:v>
                </c:pt>
                <c:pt idx="31">
                  <c:v>1.279638042215097</c:v>
                </c:pt>
                <c:pt idx="32">
                  <c:v>1.1954409508398718</c:v>
                </c:pt>
                <c:pt idx="33">
                  <c:v>1.1085246479859947</c:v>
                </c:pt>
                <c:pt idx="34">
                  <c:v>1.0195506191996817</c:v>
                </c:pt>
                <c:pt idx="35">
                  <c:v>0.92919601056398504</c:v>
                </c:pt>
                <c:pt idx="36">
                  <c:v>0.83814847520822533</c:v>
                </c:pt>
                <c:pt idx="37">
                  <c:v>0.74710093985246606</c:v>
                </c:pt>
                <c:pt idx="38">
                  <c:v>0.65674633121676862</c:v>
                </c:pt>
                <c:pt idx="39">
                  <c:v>0.5677723024304564</c:v>
                </c:pt>
                <c:pt idx="40">
                  <c:v>0.48085599957657876</c:v>
                </c:pt>
                <c:pt idx="41">
                  <c:v>0.39665890820135374</c:v>
                </c:pt>
                <c:pt idx="42">
                  <c:v>0.31582181900973971</c:v>
                </c:pt>
                <c:pt idx="43">
                  <c:v>0.23895995106125489</c:v>
                </c:pt>
                <c:pt idx="44">
                  <c:v>0.1666582695814508</c:v>
                </c:pt>
                <c:pt idx="45">
                  <c:v>9.9467034023338341E-2</c:v>
                </c:pt>
                <c:pt idx="46">
                  <c:v>3.789761026069205E-2</c:v>
                </c:pt>
                <c:pt idx="47">
                  <c:v>-1.7581421215019932E-2</c:v>
                </c:pt>
                <c:pt idx="48">
                  <c:v>-6.6547831475112451E-2</c:v>
                </c:pt>
                <c:pt idx="49">
                  <c:v>-0.10862895657077931</c:v>
                </c:pt>
                <c:pt idx="50">
                  <c:v>-0.14350453373076433</c:v>
                </c:pt>
                <c:pt idx="51">
                  <c:v>-0.17090913875443092</c:v>
                </c:pt>
                <c:pt idx="52">
                  <c:v>-0.19063420605019588</c:v>
                </c:pt>
                <c:pt idx="53">
                  <c:v>-0.20252961594561703</c:v>
                </c:pt>
                <c:pt idx="54">
                  <c:v>-0.20650483718874557</c:v>
                </c:pt>
                <c:pt idx="55">
                  <c:v>-0.20252961594561703</c:v>
                </c:pt>
                <c:pt idx="56">
                  <c:v>-0.19063420605019588</c:v>
                </c:pt>
                <c:pt idx="57">
                  <c:v>-0.17090913875443092</c:v>
                </c:pt>
                <c:pt idx="58">
                  <c:v>-0.14350453373076466</c:v>
                </c:pt>
                <c:pt idx="59">
                  <c:v>-0.10862895657077953</c:v>
                </c:pt>
                <c:pt idx="60">
                  <c:v>-6.6547831475112673E-2</c:v>
                </c:pt>
                <c:pt idx="61">
                  <c:v>-1.7581421215020154E-2</c:v>
                </c:pt>
                <c:pt idx="62">
                  <c:v>3.7897610260691827E-2</c:v>
                </c:pt>
                <c:pt idx="63">
                  <c:v>9.9467034023338119E-2</c:v>
                </c:pt>
                <c:pt idx="64">
                  <c:v>0.16665826958145047</c:v>
                </c:pt>
                <c:pt idx="65">
                  <c:v>0.23895995106125423</c:v>
                </c:pt>
                <c:pt idx="66">
                  <c:v>0.31582181900973938</c:v>
                </c:pt>
                <c:pt idx="67">
                  <c:v>0.39665890820135297</c:v>
                </c:pt>
                <c:pt idx="68">
                  <c:v>0.48085599957657882</c:v>
                </c:pt>
                <c:pt idx="69">
                  <c:v>0.56777230243045596</c:v>
                </c:pt>
                <c:pt idx="70">
                  <c:v>0.65674633121676784</c:v>
                </c:pt>
                <c:pt idx="71">
                  <c:v>0.74710093985246573</c:v>
                </c:pt>
                <c:pt idx="72">
                  <c:v>0.838148475208225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Expo!$R$57</c:f>
              <c:strCache>
                <c:ptCount val="1"/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Expo!$R$63:$R$135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xVal>
          <c:yVal>
            <c:numRef>
              <c:f>Expo!$S$63:$S$135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Expo!$R$58</c:f>
              <c:strCache>
                <c:ptCount val="1"/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Expo!$X$63:$X$135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xVal>
          <c:yVal>
            <c:numRef>
              <c:f>Expo!$Y$63:$Y$135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yVal>
          <c:smooth val="1"/>
        </c:ser>
        <c:ser>
          <c:idx val="1"/>
          <c:order val="4"/>
          <c:tx>
            <c:v>line</c:v>
          </c:tx>
          <c:spPr>
            <a:ln w="28575">
              <a:solidFill>
                <a:schemeClr val="accent1"/>
              </a:solidFill>
            </a:ln>
          </c:spPr>
          <c:dPt>
            <c:idx val="1"/>
            <c:bubble3D val="0"/>
            <c:spPr>
              <a:ln w="28575">
                <a:solidFill>
                  <a:schemeClr val="tx1"/>
                </a:solidFill>
                <a:prstDash val="dash"/>
              </a:ln>
            </c:spPr>
          </c:dPt>
          <c:xVal>
            <c:numRef>
              <c:f>Expo!$A$50:$A$51</c:f>
              <c:numCache>
                <c:formatCode>General</c:formatCode>
                <c:ptCount val="2"/>
              </c:numCache>
            </c:numRef>
          </c:xVal>
          <c:yVal>
            <c:numRef>
              <c:f>Expo!$A$50:$A$51</c:f>
              <c:numCache>
                <c:formatCode>General</c:formatCode>
                <c:ptCount val="2"/>
              </c:numCache>
            </c:numRef>
          </c:yVal>
          <c:smooth val="1"/>
        </c:ser>
        <c:ser>
          <c:idx val="2"/>
          <c:order val="5"/>
          <c:tx>
            <c:v>line10</c:v>
          </c:tx>
          <c:spPr>
            <a:ln w="12700">
              <a:solidFill>
                <a:schemeClr val="tx1"/>
              </a:solidFill>
              <a:prstDash val="dash"/>
            </a:ln>
          </c:spPr>
          <c:xVal>
            <c:numRef>
              <c:f>Expo!$A$50:$A$51</c:f>
              <c:numCache>
                <c:formatCode>General</c:formatCode>
                <c:ptCount val="2"/>
              </c:numCache>
            </c:numRef>
          </c:xVal>
          <c:yVal>
            <c:numRef>
              <c:f>Expo!$B$50:$B$51</c:f>
              <c:numCache>
                <c:formatCode>General</c:formatCode>
                <c:ptCount val="2"/>
              </c:numCache>
            </c:numRef>
          </c:yVal>
          <c:smooth val="1"/>
        </c:ser>
        <c:ser>
          <c:idx val="3"/>
          <c:order val="6"/>
          <c:tx>
            <c:v>line100</c:v>
          </c:tx>
          <c:spPr>
            <a:ln w="12700">
              <a:solidFill>
                <a:schemeClr val="tx1"/>
              </a:solidFill>
              <a:prstDash val="dash"/>
            </a:ln>
          </c:spPr>
          <c:xVal>
            <c:numRef>
              <c:f>Expo!$A$50:$A$51</c:f>
              <c:numCache>
                <c:formatCode>General</c:formatCode>
                <c:ptCount val="2"/>
              </c:numCache>
            </c:numRef>
          </c:xVal>
          <c:yVal>
            <c:numRef>
              <c:f>Expo!$C$50:$C$51</c:f>
              <c:numCache>
                <c:formatCode>General</c:formatCode>
                <c:ptCount val="2"/>
              </c:numCache>
            </c:numRef>
          </c:yVal>
          <c:smooth val="1"/>
        </c:ser>
        <c:ser>
          <c:idx val="5"/>
          <c:order val="7"/>
          <c:tx>
            <c:v>hor1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Expo!$N$55:$O$55</c:f>
              <c:numCache>
                <c:formatCode>0.0000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(Expo!$D$55,Expo!$D$55)</c:f>
              <c:numCache>
                <c:formatCode>General</c:formatCode>
                <c:ptCount val="2"/>
                <c:pt idx="0">
                  <c:v>0.83814847520822522</c:v>
                </c:pt>
                <c:pt idx="1">
                  <c:v>0.83814847520822522</c:v>
                </c:pt>
              </c:numCache>
            </c:numRef>
          </c:yVal>
          <c:smooth val="1"/>
        </c:ser>
        <c:ser>
          <c:idx val="6"/>
          <c:order val="8"/>
          <c:tx>
            <c:v>hor1dash</c:v>
          </c:tx>
          <c:spPr>
            <a:ln w="19050">
              <a:solidFill>
                <a:schemeClr val="accent1"/>
              </a:solidFill>
              <a:prstDash val="dash"/>
            </a:ln>
          </c:spPr>
          <c:marker>
            <c:symbol val="none"/>
          </c:marker>
          <c:xVal>
            <c:numRef>
              <c:f>Expo!$P$55:$Q$55</c:f>
              <c:numCache>
                <c:formatCode>0.0000</c:formatCode>
                <c:ptCount val="2"/>
                <c:pt idx="0">
                  <c:v>-1</c:v>
                </c:pt>
                <c:pt idx="1">
                  <c:v>2</c:v>
                </c:pt>
              </c:numCache>
            </c:numRef>
          </c:xVal>
          <c:yVal>
            <c:numRef>
              <c:f>(Expo!$D$55,Expo!$D$55)</c:f>
              <c:numCache>
                <c:formatCode>General</c:formatCode>
                <c:ptCount val="2"/>
                <c:pt idx="0">
                  <c:v>0.83814847520822522</c:v>
                </c:pt>
                <c:pt idx="1">
                  <c:v>0.83814847520822522</c:v>
                </c:pt>
              </c:numCache>
            </c:numRef>
          </c:yVal>
          <c:smooth val="1"/>
        </c:ser>
        <c:ser>
          <c:idx val="7"/>
          <c:order val="9"/>
          <c:tx>
            <c:v>ver1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(Expo!$K$55,Expo!$K$55)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xVal>
          <c:yVal>
            <c:numRef>
              <c:f>Expo!$G$55:$H$55</c:f>
              <c:numCache>
                <c:formatCode>General</c:formatCode>
                <c:ptCount val="2"/>
                <c:pt idx="0">
                  <c:v>-0.20650483718874568</c:v>
                </c:pt>
                <c:pt idx="1">
                  <c:v>1.8828017876051961</c:v>
                </c:pt>
              </c:numCache>
            </c:numRef>
          </c:yVal>
          <c:smooth val="1"/>
        </c:ser>
        <c:ser>
          <c:idx val="8"/>
          <c:order val="10"/>
          <c:tx>
            <c:v>ver2</c:v>
          </c:tx>
          <c:spPr>
            <a:ln w="19050"/>
          </c:spPr>
          <c:marker>
            <c:symbol val="none"/>
          </c:marker>
          <c:dPt>
            <c:idx val="1"/>
            <c:bubble3D val="0"/>
            <c:spPr>
              <a:ln w="19050">
                <a:solidFill>
                  <a:schemeClr val="tx1"/>
                </a:solidFill>
              </a:ln>
            </c:spPr>
          </c:dPt>
          <c:xVal>
            <c:numRef>
              <c:f>(Expo!$K$56,Expo!$K$56)</c:f>
              <c:numCache>
                <c:formatCode>General</c:formatCode>
                <c:ptCount val="2"/>
                <c:pt idx="0">
                  <c:v>-1.5</c:v>
                </c:pt>
                <c:pt idx="1">
                  <c:v>-1.5</c:v>
                </c:pt>
              </c:numCache>
            </c:numRef>
          </c:xVal>
          <c:yVal>
            <c:numRef>
              <c:f>Expo!$G$56:$H$56</c:f>
              <c:numCache>
                <c:formatCode>General</c:formatCode>
                <c:ptCount val="2"/>
                <c:pt idx="0">
                  <c:v>-0.20650483718874568</c:v>
                </c:pt>
                <c:pt idx="1">
                  <c:v>1.8828017876051961</c:v>
                </c:pt>
              </c:numCache>
            </c:numRef>
          </c:yVal>
          <c:smooth val="1"/>
        </c:ser>
        <c:ser>
          <c:idx val="9"/>
          <c:order val="11"/>
          <c:tx>
            <c:v>ver3</c:v>
          </c:tx>
          <c:spPr>
            <a:ln w="19050"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(Expo!$K$57,Expo!$K$57)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Expo!$G$57:$H$57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10"/>
          <c:order val="12"/>
          <c:tx>
            <c:v>ver4</c:v>
          </c:tx>
          <c:spPr>
            <a:ln w="19050">
              <a:solidFill>
                <a:srgbClr val="7030A0"/>
              </a:solidFill>
              <a:prstDash val="solid"/>
            </a:ln>
          </c:spPr>
          <c:marker>
            <c:symbol val="none"/>
          </c:marker>
          <c:xVal>
            <c:numRef>
              <c:f>(Expo!$K$58,Expo!$K$58)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Expo!$G$58:$H$58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11"/>
          <c:order val="13"/>
          <c:tx>
            <c:v>hor2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Expo!$N$56:$O$56</c:f>
              <c:numCache>
                <c:formatCode>0.0000</c:formatCode>
                <c:ptCount val="2"/>
                <c:pt idx="0">
                  <c:v>-2</c:v>
                </c:pt>
                <c:pt idx="1">
                  <c:v>-1</c:v>
                </c:pt>
              </c:numCache>
            </c:numRef>
          </c:xVal>
          <c:yVal>
            <c:numRef>
              <c:f>(Expo!$D$56,Expo!$D$56)</c:f>
              <c:numCache>
                <c:formatCode>General</c:formatCode>
                <c:ptCount val="2"/>
                <c:pt idx="0">
                  <c:v>0.83814847520822522</c:v>
                </c:pt>
                <c:pt idx="1">
                  <c:v>0.83814847520822522</c:v>
                </c:pt>
              </c:numCache>
            </c:numRef>
          </c:yVal>
          <c:smooth val="1"/>
        </c:ser>
        <c:ser>
          <c:idx val="12"/>
          <c:order val="14"/>
          <c:tx>
            <c:v>hor2dash</c:v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Expo!$P$56:$Q$56</c:f>
              <c:numCache>
                <c:formatCode>0.0000</c:formatCode>
                <c:ptCount val="2"/>
                <c:pt idx="0">
                  <c:v>-4</c:v>
                </c:pt>
                <c:pt idx="1">
                  <c:v>0</c:v>
                </c:pt>
              </c:numCache>
            </c:numRef>
          </c:xVal>
          <c:yVal>
            <c:numRef>
              <c:f>(Expo!$D$56,Expo!$D$56)</c:f>
              <c:numCache>
                <c:formatCode>General</c:formatCode>
                <c:ptCount val="2"/>
                <c:pt idx="0">
                  <c:v>0.83814847520822522</c:v>
                </c:pt>
                <c:pt idx="1">
                  <c:v>0.83814847520822522</c:v>
                </c:pt>
              </c:numCache>
            </c:numRef>
          </c:yVal>
          <c:smooth val="1"/>
        </c:ser>
        <c:ser>
          <c:idx val="13"/>
          <c:order val="15"/>
          <c:tx>
            <c:v>hor3</c:v>
          </c:tx>
          <c:spPr>
            <a:ln w="19050"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Expo!$N$57:$O$57</c:f>
              <c:numCache>
                <c:formatCode>0.0000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(Expo!$D$57,Expo!$D$57)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14"/>
          <c:order val="16"/>
          <c:tx>
            <c:v>hor3dash</c:v>
          </c:tx>
          <c:spPr>
            <a:ln w="19050">
              <a:solidFill>
                <a:srgbClr val="00FFFF"/>
              </a:solidFill>
              <a:prstDash val="dash"/>
            </a:ln>
          </c:spPr>
          <c:marker>
            <c:symbol val="none"/>
          </c:marker>
          <c:xVal>
            <c:numRef>
              <c:f>Expo!$P$57:$Q$57</c:f>
              <c:numCache>
                <c:formatCode>0.0000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(Expo!$D$57,Expo!$D$57)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15"/>
          <c:order val="17"/>
          <c:tx>
            <c:v>hor4</c:v>
          </c:tx>
          <c:spPr>
            <a:ln w="19050"/>
          </c:spPr>
          <c:marker>
            <c:symbol val="none"/>
          </c:marker>
          <c:xVal>
            <c:numRef>
              <c:f>Expo!$N$58:$O$58</c:f>
              <c:numCache>
                <c:formatCode>0.0000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(Expo!$D$58,Expo!$D$58)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16"/>
          <c:order val="18"/>
          <c:tx>
            <c:v>hor4dash</c:v>
          </c:tx>
          <c:spPr>
            <a:ln w="19050">
              <a:solidFill>
                <a:srgbClr val="7030A0"/>
              </a:solidFill>
              <a:prstDash val="dash"/>
            </a:ln>
          </c:spPr>
          <c:marker>
            <c:symbol val="none"/>
          </c:marker>
          <c:xVal>
            <c:numRef>
              <c:f>Expo!$P$58:$Q$58</c:f>
              <c:numCache>
                <c:formatCode>0.0000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(Expo!$D$58,Expo!$D$58)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17"/>
          <c:order val="19"/>
          <c:tx>
            <c:v>det1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Expo!$S$55</c:f>
              <c:numCache>
                <c:formatCode>0.0000</c:formatCode>
                <c:ptCount val="1"/>
                <c:pt idx="0">
                  <c:v>1</c:v>
                </c:pt>
              </c:numCache>
            </c:numRef>
          </c:xVal>
          <c:yVal>
            <c:numRef>
              <c:f>Expo!$T$55</c:f>
              <c:numCache>
                <c:formatCode>0.0000</c:formatCode>
                <c:ptCount val="1"/>
                <c:pt idx="0">
                  <c:v>0</c:v>
                </c:pt>
              </c:numCache>
            </c:numRef>
          </c:yVal>
          <c:smooth val="1"/>
        </c:ser>
        <c:ser>
          <c:idx val="18"/>
          <c:order val="20"/>
          <c:tx>
            <c:v>det2</c:v>
          </c:tx>
          <c:spPr>
            <a:ln>
              <a:noFill/>
            </a:ln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Expo!$S$56</c:f>
              <c:numCache>
                <c:formatCode>0.0000</c:formatCode>
                <c:ptCount val="1"/>
                <c:pt idx="0">
                  <c:v>-1</c:v>
                </c:pt>
              </c:numCache>
            </c:numRef>
          </c:xVal>
          <c:yVal>
            <c:numRef>
              <c:f>Expo!$T$56</c:f>
              <c:numCache>
                <c:formatCode>0.0000</c:formatCode>
                <c:ptCount val="1"/>
                <c:pt idx="0">
                  <c:v>0</c:v>
                </c:pt>
              </c:numCache>
            </c:numRef>
          </c:yVal>
          <c:smooth val="1"/>
        </c:ser>
        <c:ser>
          <c:idx val="19"/>
          <c:order val="21"/>
          <c:tx>
            <c:v>det3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Expo!$S$57</c:f>
              <c:numCache>
                <c:formatCode>0.0000</c:formatCode>
                <c:ptCount val="1"/>
                <c:pt idx="0">
                  <c:v>999</c:v>
                </c:pt>
              </c:numCache>
            </c:numRef>
          </c:xVal>
          <c:yVal>
            <c:numRef>
              <c:f>Expo!$T$57</c:f>
              <c:numCache>
                <c:formatCode>0.0000</c:formatCode>
                <c:ptCount val="1"/>
                <c:pt idx="0">
                  <c:v>0</c:v>
                </c:pt>
              </c:numCache>
            </c:numRef>
          </c:yVal>
          <c:smooth val="1"/>
        </c:ser>
        <c:ser>
          <c:idx val="20"/>
          <c:order val="22"/>
          <c:tx>
            <c:v>det4</c:v>
          </c:tx>
          <c:spPr>
            <a:ln>
              <a:noFill/>
            </a:ln>
          </c:spPr>
          <c:marker>
            <c:spPr>
              <a:ln>
                <a:solidFill>
                  <a:schemeClr val="tx1"/>
                </a:solidFill>
              </a:ln>
            </c:spPr>
          </c:marker>
          <c:dPt>
            <c:idx val="0"/>
            <c:marker>
              <c:symbol val="square"/>
              <c:size val="7"/>
              <c:spPr>
                <a:solidFill>
                  <a:srgbClr val="7030A0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xVal>
            <c:numRef>
              <c:f>Expo!$S$58</c:f>
              <c:numCache>
                <c:formatCode>0.0000</c:formatCode>
                <c:ptCount val="1"/>
                <c:pt idx="0">
                  <c:v>999</c:v>
                </c:pt>
              </c:numCache>
            </c:numRef>
          </c:xVal>
          <c:yVal>
            <c:numRef>
              <c:f>Expo!$T$58</c:f>
              <c:numCache>
                <c:formatCode>0.0000</c:formatCode>
                <c:ptCount val="1"/>
                <c:pt idx="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172416"/>
        <c:axId val="150174336"/>
      </c:scatterChart>
      <c:valAx>
        <c:axId val="150172416"/>
        <c:scaling>
          <c:orientation val="minMax"/>
          <c:max val="6"/>
          <c:min val="-6"/>
        </c:scaling>
        <c:delete val="0"/>
        <c:axPos val="b"/>
        <c:title>
          <c:tx>
            <c:strRef>
              <c:f>Expo!$F$50</c:f>
              <c:strCache>
                <c:ptCount val="1"/>
                <c:pt idx="0">
                  <c:v>&lt;-- log10 exposure (ppm)  --&gt;</c:v>
                </c:pt>
              </c:strCache>
            </c:strRef>
          </c:tx>
          <c:layout/>
          <c:overlay val="0"/>
          <c:spPr>
            <a:noFill/>
            <a:effectLst/>
          </c:spPr>
          <c:txPr>
            <a:bodyPr/>
            <a:lstStyle/>
            <a:p>
              <a:pPr>
                <a:defRPr sz="1600" baseline="0"/>
              </a:pPr>
              <a:endParaRPr lang="nl-NL"/>
            </a:p>
          </c:txPr>
        </c:title>
        <c:numFmt formatCode="General" sourceLinked="0"/>
        <c:majorTickMark val="out"/>
        <c:minorTickMark val="out"/>
        <c:tickLblPos val="nextTo"/>
        <c:txPr>
          <a:bodyPr/>
          <a:lstStyle/>
          <a:p>
            <a:pPr>
              <a:defRPr sz="1400" baseline="0"/>
            </a:pPr>
            <a:endParaRPr lang="nl-NL"/>
          </a:p>
        </c:txPr>
        <c:crossAx val="150174336"/>
        <c:crosses val="autoZero"/>
        <c:crossBetween val="midCat"/>
      </c:valAx>
      <c:valAx>
        <c:axId val="150174336"/>
        <c:scaling>
          <c:orientation val="minMax"/>
          <c:max val="6"/>
          <c:min val="-6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strRef>
              <c:f>Expo!$F$51</c:f>
              <c:strCache>
                <c:ptCount val="1"/>
                <c:pt idx="0">
                  <c:v>&lt;--  log10 human dose (mg/kg body weight per day)  --&gt;</c:v>
                </c:pt>
              </c:strCache>
            </c:strRef>
          </c:tx>
          <c:layout>
            <c:manualLayout>
              <c:xMode val="edge"/>
              <c:yMode val="edge"/>
              <c:x val="3.390060521746581E-2"/>
              <c:y val="0.113962827828481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vert="horz" anchor="ctr" anchorCtr="1"/>
            <a:lstStyle/>
            <a:p>
              <a:pPr>
                <a:defRPr sz="1600" baseline="0"/>
              </a:pPr>
              <a:endParaRPr lang="nl-NL"/>
            </a:p>
          </c:txPr>
        </c:title>
        <c:numFmt formatCode="General" sourceLinked="0"/>
        <c:majorTickMark val="out"/>
        <c:minorTickMark val="out"/>
        <c:tickLblPos val="nextTo"/>
        <c:txPr>
          <a:bodyPr/>
          <a:lstStyle/>
          <a:p>
            <a:pPr>
              <a:defRPr sz="1400" baseline="0"/>
            </a:pPr>
            <a:endParaRPr lang="nl-NL"/>
          </a:p>
        </c:txPr>
        <c:crossAx val="150172416"/>
        <c:crosses val="autoZero"/>
        <c:crossBetween val="midCat"/>
      </c:valAx>
      <c:spPr>
        <a:gradFill>
          <a:gsLst>
            <a:gs pos="0">
              <a:srgbClr val="00B050"/>
            </a:gs>
            <a:gs pos="12000">
              <a:srgbClr val="00B050"/>
            </a:gs>
            <a:gs pos="25000">
              <a:srgbClr val="92D050"/>
            </a:gs>
            <a:gs pos="87500">
              <a:srgbClr val="FF0000"/>
            </a:gs>
            <a:gs pos="75000">
              <a:srgbClr val="FF3300"/>
            </a:gs>
            <a:gs pos="50000">
              <a:schemeClr val="accent6">
                <a:lumMod val="40000"/>
                <a:lumOff val="60000"/>
              </a:schemeClr>
            </a:gs>
            <a:gs pos="100000">
              <a:srgbClr val="FF0000"/>
            </a:gs>
          </a:gsLst>
          <a:lin ang="2700000" scaled="1"/>
        </a:gradFill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layout>
        <c:manualLayout>
          <c:xMode val="edge"/>
          <c:yMode val="edge"/>
          <c:x val="0.87547446656464856"/>
          <c:y val="0.26669996665775003"/>
          <c:w val="0.11130073153170542"/>
          <c:h val="0.32723326516977291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63</xdr:row>
      <xdr:rowOff>28575</xdr:rowOff>
    </xdr:from>
    <xdr:to>
      <xdr:col>10</xdr:col>
      <xdr:colOff>0</xdr:colOff>
      <xdr:row>85</xdr:row>
      <xdr:rowOff>28575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42863</xdr:colOff>
      <xdr:row>13</xdr:row>
      <xdr:rowOff>0</xdr:rowOff>
    </xdr:from>
    <xdr:to>
      <xdr:col>6</xdr:col>
      <xdr:colOff>604840</xdr:colOff>
      <xdr:row>46</xdr:row>
      <xdr:rowOff>23812</xdr:rowOff>
    </xdr:to>
    <xdr:grpSp>
      <xdr:nvGrpSpPr>
        <xdr:cNvPr id="2" name="Group 1"/>
        <xdr:cNvGrpSpPr/>
      </xdr:nvGrpSpPr>
      <xdr:grpSpPr>
        <a:xfrm>
          <a:off x="42863" y="2505075"/>
          <a:ext cx="7096127" cy="6310312"/>
          <a:chOff x="41226" y="7098506"/>
          <a:chExt cx="7482779" cy="7289438"/>
        </a:xfrm>
      </xdr:grpSpPr>
      <xdr:graphicFrame macro="">
        <xdr:nvGraphicFramePr>
          <xdr:cNvPr id="3" name="test"/>
          <xdr:cNvGraphicFramePr>
            <a:graphicFrameLocks/>
          </xdr:cNvGraphicFramePr>
        </xdr:nvGraphicFramePr>
        <xdr:xfrm>
          <a:off x="41226" y="7098506"/>
          <a:ext cx="7482779" cy="72894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6596229" y="7835742"/>
            <a:ext cx="859576" cy="1166270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tx1"/>
            </a:solidFill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/>
              <a:t>Legend:</a:t>
            </a:r>
          </a:p>
          <a:p>
            <a:r>
              <a:rPr lang="nl-NL" sz="1100"/>
              <a:t>incidence goal -- exposure level</a:t>
            </a:r>
          </a:p>
        </xdr:txBody>
      </xdr:sp>
    </xdr:grpSp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0.19669</cdr:x>
      <cdr:y>0.22619</cdr:y>
    </cdr:from>
    <cdr:to>
      <cdr:x>0.29017</cdr:x>
      <cdr:y>0.36905</cdr:y>
    </cdr:to>
    <cdr:sp macro="" textlink="">
      <cdr:nvSpPr>
        <cdr:cNvPr id="2" name="TextBox 1"/>
        <cdr:cNvSpPr txBox="1"/>
      </cdr:nvSpPr>
      <cdr:spPr>
        <a:xfrm xmlns:a="http://schemas.openxmlformats.org/drawingml/2006/main" rot="2379986">
          <a:off x="1924050" y="144779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9F9E5A52-46FA-484B-8835-8448CD8D8636}" type="TxLink">
            <a:rPr lang="en-US" sz="1800" b="1" i="0" u="none" strike="noStrike">
              <a:solidFill>
                <a:srgbClr val="FF0000"/>
              </a:solidFill>
              <a:latin typeface="Calibri"/>
            </a:rPr>
            <a:pPr/>
            <a:t> </a:t>
          </a:fld>
          <a:endParaRPr lang="nl-NL" sz="1800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zoomScale="95" zoomScaleNormal="95" workbookViewId="0">
      <selection activeCell="B2" sqref="B2"/>
    </sheetView>
  </sheetViews>
  <sheetFormatPr defaultColWidth="9.140625" defaultRowHeight="15" x14ac:dyDescent="0.25"/>
  <cols>
    <col min="1" max="1" width="31.140625" style="12" customWidth="1"/>
    <col min="2" max="2" width="14.5703125" style="16" customWidth="1"/>
    <col min="3" max="3" width="25" style="15" customWidth="1"/>
    <col min="4" max="4" width="29.140625" style="15" customWidth="1"/>
    <col min="5" max="5" width="8.5703125" style="15" customWidth="1"/>
    <col min="6" max="6" width="23.7109375" style="12" customWidth="1"/>
    <col min="7" max="7" width="13.5703125" style="15" customWidth="1"/>
    <col min="8" max="8" width="18.7109375" style="15" customWidth="1"/>
    <col min="9" max="9" width="18.7109375" style="13" customWidth="1"/>
    <col min="10" max="10" width="20.7109375" style="13" customWidth="1"/>
    <col min="11" max="16384" width="9.140625" style="13"/>
  </cols>
  <sheetData>
    <row r="1" spans="1:10" ht="15.75" customHeight="1" thickBot="1" x14ac:dyDescent="0.3">
      <c r="A1" s="14" t="s">
        <v>109</v>
      </c>
      <c r="B1" s="311" t="s">
        <v>250</v>
      </c>
      <c r="C1" s="312"/>
      <c r="D1" s="312"/>
      <c r="E1" s="313"/>
    </row>
    <row r="2" spans="1:10" s="15" customFormat="1" ht="15" customHeight="1" thickBot="1" x14ac:dyDescent="0.3">
      <c r="A2" s="12"/>
      <c r="B2" s="16"/>
      <c r="F2" s="12"/>
      <c r="I2" s="13"/>
      <c r="J2" s="13"/>
    </row>
    <row r="3" spans="1:10" s="15" customFormat="1" ht="15" customHeight="1" thickBot="1" x14ac:dyDescent="0.3">
      <c r="A3" s="322" t="s">
        <v>138</v>
      </c>
      <c r="B3" s="323"/>
      <c r="C3" s="323"/>
      <c r="D3" s="323"/>
      <c r="E3" s="18"/>
      <c r="F3" s="12"/>
      <c r="G3" s="314" t="s">
        <v>96</v>
      </c>
      <c r="H3" s="315"/>
      <c r="I3" s="316"/>
      <c r="J3" s="13"/>
    </row>
    <row r="4" spans="1:10" s="15" customFormat="1" ht="15" customHeight="1" x14ac:dyDescent="0.25">
      <c r="A4" s="19" t="s">
        <v>100</v>
      </c>
      <c r="B4" s="368" t="s">
        <v>23</v>
      </c>
      <c r="C4" s="368"/>
      <c r="D4" s="22" t="s">
        <v>127</v>
      </c>
      <c r="E4" s="23" t="s">
        <v>42</v>
      </c>
      <c r="F4" s="14"/>
      <c r="G4" s="317" t="s">
        <v>97</v>
      </c>
      <c r="H4" s="318"/>
      <c r="I4" s="319"/>
      <c r="J4" s="13"/>
    </row>
    <row r="5" spans="1:10" s="15" customFormat="1" ht="15" customHeight="1" x14ac:dyDescent="0.25">
      <c r="A5" s="24" t="s">
        <v>137</v>
      </c>
      <c r="B5" s="320" t="s">
        <v>183</v>
      </c>
      <c r="C5" s="320"/>
      <c r="D5" s="25" t="s">
        <v>9</v>
      </c>
      <c r="E5" s="26"/>
      <c r="F5" s="14"/>
      <c r="G5" s="305"/>
      <c r="H5" s="306"/>
      <c r="I5" s="307"/>
      <c r="J5" s="13"/>
    </row>
    <row r="6" spans="1:10" s="15" customFormat="1" ht="15" customHeight="1" x14ac:dyDescent="0.25">
      <c r="A6" s="24" t="s">
        <v>4</v>
      </c>
      <c r="B6" s="321" t="s">
        <v>5</v>
      </c>
      <c r="C6" s="321"/>
      <c r="D6" s="28" t="s">
        <v>9</v>
      </c>
      <c r="E6" s="29"/>
      <c r="F6" s="12"/>
      <c r="G6" s="308"/>
      <c r="H6" s="309"/>
      <c r="I6" s="310"/>
      <c r="J6" s="13"/>
    </row>
    <row r="7" spans="1:10" s="15" customFormat="1" ht="15" customHeight="1" x14ac:dyDescent="0.25">
      <c r="A7" s="24" t="s">
        <v>17</v>
      </c>
      <c r="B7" s="321" t="s">
        <v>19</v>
      </c>
      <c r="C7" s="321"/>
      <c r="D7" s="28" t="s">
        <v>9</v>
      </c>
      <c r="E7" s="29"/>
      <c r="F7" s="12"/>
      <c r="G7" s="302" t="s">
        <v>98</v>
      </c>
      <c r="H7" s="303"/>
      <c r="I7" s="304"/>
      <c r="J7" s="13"/>
    </row>
    <row r="8" spans="1:10" s="15" customFormat="1" ht="15" customHeight="1" x14ac:dyDescent="0.25">
      <c r="A8" s="24" t="s">
        <v>62</v>
      </c>
      <c r="B8" s="321" t="s">
        <v>20</v>
      </c>
      <c r="C8" s="321"/>
      <c r="D8" s="28" t="s">
        <v>9</v>
      </c>
      <c r="E8" s="29"/>
      <c r="F8" s="12"/>
      <c r="G8" s="305"/>
      <c r="H8" s="306"/>
      <c r="I8" s="307"/>
      <c r="J8" s="13"/>
    </row>
    <row r="9" spans="1:10" s="15" customFormat="1" ht="15" customHeight="1" x14ac:dyDescent="0.25">
      <c r="A9" s="24" t="s">
        <v>63</v>
      </c>
      <c r="B9" s="321" t="s">
        <v>15</v>
      </c>
      <c r="C9" s="321"/>
      <c r="D9" s="28" t="s">
        <v>9</v>
      </c>
      <c r="E9" s="29"/>
      <c r="F9" s="12"/>
      <c r="G9" s="308"/>
      <c r="H9" s="309"/>
      <c r="I9" s="310"/>
      <c r="J9" s="13"/>
    </row>
    <row r="10" spans="1:10" s="15" customFormat="1" ht="15" customHeight="1" x14ac:dyDescent="0.25">
      <c r="A10" s="24" t="s">
        <v>167</v>
      </c>
      <c r="B10" s="373">
        <f>D10</f>
        <v>0.4</v>
      </c>
      <c r="C10" s="373"/>
      <c r="D10" s="170">
        <f>IF(B9="Rat",RatBWDefault,IF(B9="Mouse",MouseBWDefault,IF(B9="Dog",DogBWDefault,IF(B9="Rabbit",RabbitBWDefault,"Case-specific"))))</f>
        <v>0.4</v>
      </c>
      <c r="E10" s="29" t="s">
        <v>43</v>
      </c>
      <c r="F10" s="12"/>
      <c r="G10" s="333" t="s">
        <v>104</v>
      </c>
      <c r="H10" s="334"/>
      <c r="I10" s="335"/>
      <c r="J10" s="13"/>
    </row>
    <row r="11" spans="1:10" s="15" customFormat="1" ht="15" customHeight="1" x14ac:dyDescent="0.25">
      <c r="A11" s="24" t="s">
        <v>168</v>
      </c>
      <c r="B11" s="365">
        <f>D11</f>
        <v>60</v>
      </c>
      <c r="C11" s="365"/>
      <c r="D11" s="30">
        <f>HumanBWDefault</f>
        <v>60</v>
      </c>
      <c r="E11" s="31"/>
      <c r="F11" s="163"/>
      <c r="G11" s="336"/>
      <c r="H11" s="337"/>
      <c r="I11" s="338"/>
      <c r="J11" s="13"/>
    </row>
    <row r="12" spans="1:10" s="15" customFormat="1" ht="30" customHeight="1" x14ac:dyDescent="0.25">
      <c r="A12" s="24" t="s">
        <v>166</v>
      </c>
      <c r="B12" s="371">
        <f>D12</f>
        <v>0.05</v>
      </c>
      <c r="C12" s="371"/>
      <c r="D12" s="35">
        <f>IF(B6="Continuous",ContBMRDefault,IF(B6="Quantal-deterministic",QuantDeterBMRDefault,IF(B6="Quantal-stochastic",QuantStochBMRDefault,"")))</f>
        <v>0.05</v>
      </c>
      <c r="E12" s="31" t="s">
        <v>44</v>
      </c>
      <c r="F12" s="32"/>
      <c r="G12" s="336"/>
      <c r="H12" s="337"/>
      <c r="I12" s="338"/>
      <c r="J12" s="13"/>
    </row>
    <row r="13" spans="1:10" s="15" customFormat="1" ht="15" customHeight="1" thickBot="1" x14ac:dyDescent="0.3">
      <c r="A13" s="24" t="s">
        <v>169</v>
      </c>
      <c r="B13" s="372">
        <v>0.01</v>
      </c>
      <c r="C13" s="372"/>
      <c r="D13" s="35" t="s">
        <v>24</v>
      </c>
      <c r="E13" s="36"/>
      <c r="F13" s="12"/>
      <c r="G13" s="339"/>
      <c r="H13" s="340"/>
      <c r="I13" s="341"/>
      <c r="J13" s="13"/>
    </row>
    <row r="14" spans="1:10" s="15" customFormat="1" ht="15" customHeight="1" thickBot="1" x14ac:dyDescent="0.3">
      <c r="A14" s="24" t="s">
        <v>73</v>
      </c>
      <c r="B14" s="372">
        <f>D14</f>
        <v>0.95</v>
      </c>
      <c r="C14" s="372"/>
      <c r="D14" s="35">
        <v>0.95</v>
      </c>
      <c r="E14" s="36"/>
      <c r="F14" s="12"/>
      <c r="I14" s="13"/>
      <c r="J14" s="13"/>
    </row>
    <row r="15" spans="1:10" s="15" customFormat="1" ht="15" customHeight="1" thickBot="1" x14ac:dyDescent="0.3">
      <c r="A15" s="24" t="s">
        <v>145</v>
      </c>
      <c r="B15" s="321" t="s">
        <v>3</v>
      </c>
      <c r="C15" s="321"/>
      <c r="D15" s="28" t="s">
        <v>9</v>
      </c>
      <c r="E15" s="29"/>
      <c r="F15" s="12"/>
      <c r="G15" s="37" t="s">
        <v>110</v>
      </c>
      <c r="H15" s="38"/>
      <c r="I15" s="39"/>
      <c r="J15" s="13"/>
    </row>
    <row r="16" spans="1:10" ht="15" customHeight="1" x14ac:dyDescent="0.25">
      <c r="A16" s="24" t="s">
        <v>146</v>
      </c>
      <c r="B16" s="369">
        <v>100</v>
      </c>
      <c r="C16" s="369"/>
      <c r="D16" s="28" t="s">
        <v>9</v>
      </c>
      <c r="E16" s="29"/>
      <c r="G16" s="343" t="s">
        <v>111</v>
      </c>
      <c r="H16" s="344"/>
      <c r="I16" s="345"/>
    </row>
    <row r="17" spans="1:10" ht="15" customHeight="1" x14ac:dyDescent="0.25">
      <c r="A17" s="24" t="s">
        <v>165</v>
      </c>
      <c r="B17" s="370"/>
      <c r="C17" s="370"/>
      <c r="D17" s="28" t="str">
        <f>IF(B15="NOAEL","Blank if PoD is NOAEL/LOAEL","Case-specific")</f>
        <v>Blank if PoD is NOAEL/LOAEL</v>
      </c>
      <c r="E17" s="29" t="s">
        <v>45</v>
      </c>
      <c r="G17" s="346"/>
      <c r="H17" s="347"/>
      <c r="I17" s="348"/>
    </row>
    <row r="18" spans="1:10" ht="15" customHeight="1" x14ac:dyDescent="0.25">
      <c r="A18" s="24" t="s">
        <v>144</v>
      </c>
      <c r="B18" s="321" t="str">
        <f>D18</f>
        <v>mg/kg body weight per day</v>
      </c>
      <c r="C18" s="321"/>
      <c r="D18" s="28" t="str">
        <f>IF(B7="Oral","mg/kg body weight per day",IF(B7="Inhalation","mg/cu. m","User-specified"))</f>
        <v>mg/kg body weight per day</v>
      </c>
      <c r="E18" s="29"/>
      <c r="G18" s="346"/>
      <c r="H18" s="347"/>
      <c r="I18" s="348"/>
    </row>
    <row r="19" spans="1:10" ht="15" customHeight="1" x14ac:dyDescent="0.25">
      <c r="A19" s="24" t="s">
        <v>147</v>
      </c>
      <c r="B19" s="365">
        <v>100</v>
      </c>
      <c r="C19" s="365"/>
      <c r="D19" s="28" t="s">
        <v>9</v>
      </c>
      <c r="E19" s="29"/>
      <c r="F19" s="40"/>
      <c r="G19" s="346"/>
      <c r="H19" s="347"/>
      <c r="I19" s="348"/>
    </row>
    <row r="20" spans="1:10" ht="15" customHeight="1" thickBot="1" x14ac:dyDescent="0.3">
      <c r="A20" s="24" t="s">
        <v>125</v>
      </c>
      <c r="B20" s="366">
        <f>B16/B19</f>
        <v>1</v>
      </c>
      <c r="C20" s="366"/>
      <c r="D20" s="28" t="s">
        <v>40</v>
      </c>
      <c r="E20" s="29"/>
      <c r="G20" s="349"/>
      <c r="H20" s="350"/>
      <c r="I20" s="351"/>
    </row>
    <row r="21" spans="1:10" ht="15" customHeight="1" thickBot="1" x14ac:dyDescent="0.3">
      <c r="A21" s="115" t="s">
        <v>160</v>
      </c>
      <c r="B21" s="367">
        <v>1</v>
      </c>
      <c r="C21" s="367"/>
      <c r="D21" s="42" t="s">
        <v>143</v>
      </c>
      <c r="E21" s="43"/>
      <c r="G21" s="144"/>
      <c r="H21" s="144"/>
      <c r="I21" s="144"/>
    </row>
    <row r="22" spans="1:10" ht="15" customHeight="1" thickBot="1" x14ac:dyDescent="0.3">
      <c r="A22" s="44"/>
      <c r="B22" s="27"/>
      <c r="C22" s="28"/>
      <c r="D22" s="28"/>
      <c r="E22" s="28"/>
      <c r="J22" s="12"/>
    </row>
    <row r="23" spans="1:10" ht="15" customHeight="1" thickBot="1" x14ac:dyDescent="0.3">
      <c r="A23" s="322" t="s">
        <v>139</v>
      </c>
      <c r="B23" s="323"/>
      <c r="C23" s="323"/>
      <c r="D23" s="323"/>
      <c r="E23" s="17"/>
      <c r="F23" s="324" t="s">
        <v>129</v>
      </c>
      <c r="G23" s="325"/>
      <c r="H23" s="325"/>
      <c r="I23" s="326"/>
      <c r="J23" s="46" t="s">
        <v>118</v>
      </c>
    </row>
    <row r="24" spans="1:10" ht="15" customHeight="1" x14ac:dyDescent="0.25">
      <c r="A24" s="19" t="s">
        <v>99</v>
      </c>
      <c r="B24" s="20"/>
      <c r="C24" s="21" t="s">
        <v>23</v>
      </c>
      <c r="D24" s="22" t="s">
        <v>128</v>
      </c>
      <c r="E24" s="23" t="s">
        <v>42</v>
      </c>
      <c r="F24" s="47" t="s">
        <v>106</v>
      </c>
      <c r="G24" s="48"/>
      <c r="H24" s="49"/>
      <c r="I24" s="50" t="s">
        <v>117</v>
      </c>
      <c r="J24" s="51" t="s">
        <v>119</v>
      </c>
    </row>
    <row r="25" spans="1:10" ht="15" customHeight="1" x14ac:dyDescent="0.25">
      <c r="A25" s="24" t="s">
        <v>148</v>
      </c>
      <c r="B25" s="27" t="s">
        <v>71</v>
      </c>
      <c r="C25" s="157">
        <f>B16*IF(B15="BMDL",1,B16/C26)</f>
        <v>100</v>
      </c>
      <c r="D25" s="34" t="s">
        <v>69</v>
      </c>
      <c r="E25" s="34" t="s">
        <v>45</v>
      </c>
      <c r="F25" s="52" t="str">
        <f>A25</f>
        <v>PoD</v>
      </c>
      <c r="G25" s="53" t="s">
        <v>0</v>
      </c>
      <c r="H25" s="54">
        <f>SQRT(C25*C26)</f>
        <v>100</v>
      </c>
      <c r="I25" s="55"/>
      <c r="J25" s="156" t="str">
        <f>IF(I26&gt;0,I26/LOG($I$45)^2,"--")</f>
        <v>--</v>
      </c>
    </row>
    <row r="26" spans="1:10" ht="15" customHeight="1" x14ac:dyDescent="0.25">
      <c r="A26" s="8" t="s">
        <v>163</v>
      </c>
      <c r="B26" s="27" t="s">
        <v>72</v>
      </c>
      <c r="C26" s="158">
        <f>IF(B15="BMDL",B17,B16)</f>
        <v>100</v>
      </c>
      <c r="D26" s="34" t="s">
        <v>69</v>
      </c>
      <c r="E26" s="28" t="s">
        <v>45</v>
      </c>
      <c r="F26" s="56"/>
      <c r="G26" s="57" t="s">
        <v>1</v>
      </c>
      <c r="H26" s="58">
        <f>C26/H25</f>
        <v>1</v>
      </c>
      <c r="I26" s="59">
        <f>LOG(H26)^2</f>
        <v>0</v>
      </c>
      <c r="J26" s="60"/>
    </row>
    <row r="27" spans="1:10" ht="15" customHeight="1" x14ac:dyDescent="0.25">
      <c r="A27" s="24" t="s">
        <v>107</v>
      </c>
      <c r="B27" s="27" t="s">
        <v>71</v>
      </c>
      <c r="C27" s="161">
        <f t="shared" ref="C27:C32" si="0">D27</f>
        <v>7.0921985815602745E-2</v>
      </c>
      <c r="D27" s="162">
        <f>IF(B15&lt;&gt;"BMDL",IF(B6&lt;&gt;"Continuous",IF(B6="Quantal-deterministic",NOAELUncertQuantalDeterMedian,NOAELUncertQuantalStochMedian),IF(B8="Repro/Developmental",NOAELUncertContReproDevMedian,NOAELUncertContChrSubChrMedian)),1)*IF(B15&lt;&gt;"BMDL",IF(B6&lt;&gt;"Continuous",IF(B6="Quantal-deterministic",NOAELUncertQuantalDeterGSD,NOAELUncertQuantalStochGSD),IF(B8="Repro/Developmental",NOAELUncertContReproDevGSD,NOAELUncertContChrSubChrGSD)),1)^NORMSINV(0.05)</f>
        <v>7.0921985815602745E-2</v>
      </c>
      <c r="E27" s="28" t="s">
        <v>46</v>
      </c>
      <c r="F27" s="52" t="str">
        <f>A27</f>
        <v>NOAEL to BMD</v>
      </c>
      <c r="G27" s="53" t="s">
        <v>0</v>
      </c>
      <c r="H27" s="54">
        <f>SQRT(C27*C28)</f>
        <v>0.33333333333333315</v>
      </c>
      <c r="I27" s="61"/>
      <c r="J27" s="156">
        <f>IF(I28&gt;0,I28/LOG($I$45)^2,"--")</f>
        <v>0.41392404090426171</v>
      </c>
    </row>
    <row r="28" spans="1:10" ht="15" customHeight="1" x14ac:dyDescent="0.25">
      <c r="A28" s="8" t="s">
        <v>197</v>
      </c>
      <c r="B28" s="27" t="s">
        <v>72</v>
      </c>
      <c r="C28" s="62">
        <f t="shared" si="0"/>
        <v>1.5666666666666669</v>
      </c>
      <c r="D28" s="63">
        <f>IF(B15&lt;&gt;"BMDL",IF(B6&lt;&gt;"Continuous",IF(B6="Quantal-deterministic",NOAELUncertQuantalDeterMedian,NOAELUncertQuantalStochMedian),IF(B8="Repro/Developmental",NOAELUncertContReproDevMedian,NOAELUncertContChrSubChrMedian)),1)*IF(B15&lt;&gt;"BMDL",IF(B6&lt;&gt;"Continuous",IF(B6="Quantal-deterministic",NOAELUncertQuantalDeterGSD,NOAELUncertQuantalStochGSD),IF(B8="Repro/Developmental",NOAELUncertContReproDevGSD,NOAELUncertContChrSubChrGSD)),1)^NORMSINV(0.95)</f>
        <v>1.5666666666666669</v>
      </c>
      <c r="E28" s="28"/>
      <c r="F28" s="56"/>
      <c r="G28" s="57" t="s">
        <v>1</v>
      </c>
      <c r="H28" s="58">
        <f>C28/H27</f>
        <v>4.7000000000000028</v>
      </c>
      <c r="I28" s="59">
        <f>LOG(H28)^2</f>
        <v>0.45171553064178022</v>
      </c>
      <c r="J28" s="60"/>
    </row>
    <row r="29" spans="1:10" ht="15" customHeight="1" x14ac:dyDescent="0.25">
      <c r="A29" s="24" t="s">
        <v>6</v>
      </c>
      <c r="B29" s="27" t="s">
        <v>71</v>
      </c>
      <c r="C29" s="62">
        <f t="shared" si="0"/>
        <v>3.6794569614364461</v>
      </c>
      <c r="D29" s="63">
        <f>IF(B7="Oral",(B11/B10)^(1-AllomExponentMedian+NORMSINV(0.05)*AllomExponentSD),"Case-specific")</f>
        <v>3.6794569614364461</v>
      </c>
      <c r="E29" s="63" t="s">
        <v>47</v>
      </c>
      <c r="F29" s="52" t="str">
        <f>A29</f>
        <v>Interspecies scaling</v>
      </c>
      <c r="G29" s="53" t="s">
        <v>0</v>
      </c>
      <c r="H29" s="54">
        <f>SQRT(C29*C30)</f>
        <v>4.4960111304799177</v>
      </c>
      <c r="I29" s="61"/>
      <c r="J29" s="156">
        <f>IF(I30&gt;0,I30/LOG($I$45)^2,"--")</f>
        <v>6.942722713988209E-3</v>
      </c>
    </row>
    <row r="30" spans="1:10" ht="15" customHeight="1" x14ac:dyDescent="0.25">
      <c r="A30" s="8" t="s">
        <v>36</v>
      </c>
      <c r="B30" s="27" t="s">
        <v>72</v>
      </c>
      <c r="C30" s="62">
        <f t="shared" si="0"/>
        <v>5.4937770158093651</v>
      </c>
      <c r="D30" s="63">
        <f>IF(B7="Oral",(B11/B10)^(1-AllomExponentMedian+NORMSINV(0.95)*AllomExponentSD),"Case-specific")</f>
        <v>5.4937770158093651</v>
      </c>
      <c r="E30" s="63"/>
      <c r="F30" s="56"/>
      <c r="G30" s="57" t="s">
        <v>1</v>
      </c>
      <c r="H30" s="58">
        <f>C30/H29</f>
        <v>1.2219224677993497</v>
      </c>
      <c r="I30" s="59">
        <f>LOG(H30)^2</f>
        <v>7.576597068381671E-3</v>
      </c>
      <c r="J30" s="60"/>
    </row>
    <row r="31" spans="1:10" ht="15" customHeight="1" x14ac:dyDescent="0.25">
      <c r="A31" s="24" t="s">
        <v>136</v>
      </c>
      <c r="B31" s="27" t="s">
        <v>71</v>
      </c>
      <c r="C31" s="161">
        <f t="shared" si="0"/>
        <v>0.33333333333333298</v>
      </c>
      <c r="D31" s="162">
        <f>InterTKTDMedian*InterTKTDGSD^NORMSINV(0.05)</f>
        <v>0.33333333333333298</v>
      </c>
      <c r="E31" s="28" t="s">
        <v>48</v>
      </c>
      <c r="F31" s="52" t="str">
        <f>A31</f>
        <v>Interspecies TK/TD</v>
      </c>
      <c r="G31" s="53" t="s">
        <v>0</v>
      </c>
      <c r="H31" s="54">
        <f>SQRT(C31*C32)</f>
        <v>0.99999999999999956</v>
      </c>
      <c r="I31" s="61"/>
      <c r="J31" s="156">
        <f>IF(I32&gt;0,I32/LOG($I$45)^2,"--")</f>
        <v>0.20859944874415381</v>
      </c>
    </row>
    <row r="32" spans="1:10" ht="15" customHeight="1" x14ac:dyDescent="0.25">
      <c r="A32" s="8" t="s">
        <v>164</v>
      </c>
      <c r="B32" s="27" t="s">
        <v>72</v>
      </c>
      <c r="C32" s="62">
        <f t="shared" si="0"/>
        <v>3.0000000000000004</v>
      </c>
      <c r="D32" s="63">
        <f>InterTKTDMedian*InterTKTDGSD^NORMSINV(0.95)</f>
        <v>3.0000000000000004</v>
      </c>
      <c r="E32" s="63"/>
      <c r="F32" s="56"/>
      <c r="G32" s="57" t="s">
        <v>1</v>
      </c>
      <c r="H32" s="58">
        <f>C32/H31</f>
        <v>3.0000000000000018</v>
      </c>
      <c r="I32" s="59">
        <f>LOG(H32)^2</f>
        <v>0.22764469170526527</v>
      </c>
      <c r="J32" s="60"/>
    </row>
    <row r="33" spans="1:10" ht="15" customHeight="1" x14ac:dyDescent="0.25">
      <c r="A33" s="24" t="s">
        <v>149</v>
      </c>
      <c r="B33" s="27" t="s">
        <v>71</v>
      </c>
      <c r="C33" s="62">
        <f t="shared" ref="C33:C41" si="1">D33</f>
        <v>1</v>
      </c>
      <c r="D33" s="63">
        <f>IF(B8="Subchronic",SubchronicChronicMedian*SubchronicChronicGSD^NORMSINV(0.05),IF(B8="Subacute",SubacuteChronicMedian*SubacuteChronicGSD^NORMSINV(0.05),1))</f>
        <v>1</v>
      </c>
      <c r="E33" s="28"/>
      <c r="F33" s="52" t="str">
        <f>A33</f>
        <v>Duration extrapolation</v>
      </c>
      <c r="G33" s="53" t="s">
        <v>0</v>
      </c>
      <c r="H33" s="54">
        <f>SQRT(C33*C34)</f>
        <v>1</v>
      </c>
      <c r="I33" s="61"/>
      <c r="J33" s="156" t="str">
        <f>IF(I34&gt;0,I34/LOG($I$45)^2,"--")</f>
        <v>--</v>
      </c>
    </row>
    <row r="34" spans="1:10" ht="15" customHeight="1" x14ac:dyDescent="0.25">
      <c r="A34" s="8"/>
      <c r="B34" s="27" t="s">
        <v>72</v>
      </c>
      <c r="C34" s="62">
        <f t="shared" si="1"/>
        <v>1</v>
      </c>
      <c r="D34" s="63">
        <f>IF(B8="Subchronic",SubchronicChronicMedian*SubchronicChronicGSD^NORMSINV(0.95),IF(B8="Subacute",SubacuteChronicMedian*SubacuteChronicGSD^NORMSINV(0.95),1))</f>
        <v>1</v>
      </c>
      <c r="E34" s="28"/>
      <c r="F34" s="56"/>
      <c r="G34" s="57" t="s">
        <v>1</v>
      </c>
      <c r="H34" s="58">
        <f>C34/H33</f>
        <v>1</v>
      </c>
      <c r="I34" s="59">
        <f>LOG(H34)^2</f>
        <v>0</v>
      </c>
      <c r="J34" s="60"/>
    </row>
    <row r="35" spans="1:10" ht="15" customHeight="1" x14ac:dyDescent="0.25">
      <c r="A35" s="24" t="s">
        <v>41</v>
      </c>
      <c r="B35" s="27" t="s">
        <v>71</v>
      </c>
      <c r="C35" s="62">
        <f t="shared" si="1"/>
        <v>2.2400071320808088</v>
      </c>
      <c r="D35" s="63">
        <f>10^(NORMSINV(1-B13)*LogGSDHMedian/LogGSDHGSDU^NORMSINV(0.95))</f>
        <v>2.2400071320808088</v>
      </c>
      <c r="E35" s="63" t="s">
        <v>49</v>
      </c>
      <c r="F35" s="52" t="str">
        <f>A35</f>
        <v>Intraspecies</v>
      </c>
      <c r="G35" s="53" t="s">
        <v>0</v>
      </c>
      <c r="H35" s="54">
        <f>SQRT(C35*C36)</f>
        <v>9.6860208996610719</v>
      </c>
      <c r="I35" s="61"/>
      <c r="J35" s="156">
        <f>IF(I36&gt;0,I36/LOG($I$45)^2,"--")</f>
        <v>0.37053378763759554</v>
      </c>
    </row>
    <row r="36" spans="1:10" ht="15" customHeight="1" x14ac:dyDescent="0.25">
      <c r="A36" s="64"/>
      <c r="B36" s="27" t="s">
        <v>72</v>
      </c>
      <c r="C36" s="62">
        <f t="shared" si="1"/>
        <v>41.883349175553676</v>
      </c>
      <c r="D36" s="63">
        <f>10^(NORMSINV(1-B13)*LogGSDHMedian*LogGSDHGSDU^NORMSINV(0.95))</f>
        <v>41.883349175553676</v>
      </c>
      <c r="E36" s="63" t="s">
        <v>60</v>
      </c>
      <c r="F36" s="56"/>
      <c r="G36" s="57" t="s">
        <v>1</v>
      </c>
      <c r="H36" s="58">
        <f>C36/H35</f>
        <v>4.3241027052728365</v>
      </c>
      <c r="I36" s="59">
        <f>LOG(H36)^2</f>
        <v>0.40436372368653561</v>
      </c>
      <c r="J36" s="60"/>
    </row>
    <row r="37" spans="1:10" ht="15" customHeight="1" x14ac:dyDescent="0.25">
      <c r="A37" s="24" t="s">
        <v>10</v>
      </c>
      <c r="B37" s="27" t="s">
        <v>71</v>
      </c>
      <c r="C37" s="62">
        <v>1</v>
      </c>
      <c r="D37" s="63">
        <v>1</v>
      </c>
      <c r="E37" s="28" t="s">
        <v>101</v>
      </c>
      <c r="F37" s="52" t="str">
        <f t="shared" ref="F37:F42" si="2">A37</f>
        <v>Other aspect #1</v>
      </c>
      <c r="G37" s="53" t="s">
        <v>0</v>
      </c>
      <c r="H37" s="54">
        <f>SQRT(C37*C38)</f>
        <v>1</v>
      </c>
      <c r="I37" s="61"/>
      <c r="J37" s="156" t="str">
        <f>IF(I38&gt;0,I38/LOG($I$45)^2,"--")</f>
        <v>--</v>
      </c>
    </row>
    <row r="38" spans="1:10" ht="15" customHeight="1" x14ac:dyDescent="0.25">
      <c r="A38" s="65" t="s">
        <v>35</v>
      </c>
      <c r="B38" s="27" t="s">
        <v>72</v>
      </c>
      <c r="C38" s="62">
        <v>1</v>
      </c>
      <c r="D38" s="63">
        <v>1</v>
      </c>
      <c r="E38" s="28"/>
      <c r="F38" s="56" t="str">
        <f t="shared" si="2"/>
        <v xml:space="preserve">     (Description here)</v>
      </c>
      <c r="G38" s="57" t="s">
        <v>1</v>
      </c>
      <c r="H38" s="58">
        <f>C38/H37</f>
        <v>1</v>
      </c>
      <c r="I38" s="59">
        <f>LOG(H38)^2</f>
        <v>0</v>
      </c>
      <c r="J38" s="60"/>
    </row>
    <row r="39" spans="1:10" ht="15" customHeight="1" x14ac:dyDescent="0.25">
      <c r="A39" s="24" t="s">
        <v>11</v>
      </c>
      <c r="B39" s="27" t="s">
        <v>71</v>
      </c>
      <c r="C39" s="62">
        <f t="shared" si="1"/>
        <v>1</v>
      </c>
      <c r="D39" s="63">
        <v>1</v>
      </c>
      <c r="E39" s="28"/>
      <c r="F39" s="52" t="str">
        <f t="shared" si="2"/>
        <v>Other aspect #2</v>
      </c>
      <c r="G39" s="53" t="s">
        <v>0</v>
      </c>
      <c r="H39" s="54">
        <f>SQRT(C39*C40)</f>
        <v>1</v>
      </c>
      <c r="I39" s="61"/>
      <c r="J39" s="156" t="str">
        <f>IF(I40&gt;0,I40/LOG($I$45)^2,"--")</f>
        <v>--</v>
      </c>
    </row>
    <row r="40" spans="1:10" ht="15" customHeight="1" x14ac:dyDescent="0.25">
      <c r="A40" s="65" t="s">
        <v>35</v>
      </c>
      <c r="B40" s="27" t="s">
        <v>72</v>
      </c>
      <c r="C40" s="62">
        <f t="shared" si="1"/>
        <v>1</v>
      </c>
      <c r="D40" s="63">
        <v>1</v>
      </c>
      <c r="E40" s="28"/>
      <c r="F40" s="56" t="str">
        <f t="shared" si="2"/>
        <v xml:space="preserve">     (Description here)</v>
      </c>
      <c r="G40" s="57" t="s">
        <v>1</v>
      </c>
      <c r="H40" s="58">
        <f>C40/H39</f>
        <v>1</v>
      </c>
      <c r="I40" s="59">
        <f>LOG(H40)^2</f>
        <v>0</v>
      </c>
      <c r="J40" s="60"/>
    </row>
    <row r="41" spans="1:10" ht="15" customHeight="1" x14ac:dyDescent="0.25">
      <c r="A41" s="24" t="s">
        <v>12</v>
      </c>
      <c r="B41" s="27" t="s">
        <v>71</v>
      </c>
      <c r="C41" s="62">
        <f t="shared" si="1"/>
        <v>1</v>
      </c>
      <c r="D41" s="63">
        <v>1</v>
      </c>
      <c r="E41" s="28"/>
      <c r="F41" s="52" t="str">
        <f t="shared" si="2"/>
        <v>Other aspect #3</v>
      </c>
      <c r="G41" s="53" t="s">
        <v>0</v>
      </c>
      <c r="H41" s="54">
        <f>SQRT(C41*C42)</f>
        <v>1</v>
      </c>
      <c r="I41" s="61"/>
      <c r="J41" s="156" t="str">
        <f>IF(I42&gt;0,I42/LOG($I$45)^2,"--")</f>
        <v>--</v>
      </c>
    </row>
    <row r="42" spans="1:10" ht="15" customHeight="1" thickBot="1" x14ac:dyDescent="0.3">
      <c r="A42" s="66" t="s">
        <v>35</v>
      </c>
      <c r="B42" s="41" t="s">
        <v>72</v>
      </c>
      <c r="C42" s="159">
        <v>1</v>
      </c>
      <c r="D42" s="160">
        <v>1</v>
      </c>
      <c r="E42" s="42"/>
      <c r="F42" s="67" t="str">
        <f t="shared" si="2"/>
        <v xml:space="preserve">     (Description here)</v>
      </c>
      <c r="G42" s="68" t="s">
        <v>1</v>
      </c>
      <c r="H42" s="69">
        <f>C42/H41</f>
        <v>1</v>
      </c>
      <c r="I42" s="70">
        <f>LOG(H42)^2</f>
        <v>0</v>
      </c>
      <c r="J42" s="60"/>
    </row>
    <row r="43" spans="1:10" ht="15" customHeight="1" thickBot="1" x14ac:dyDescent="0.3">
      <c r="A43" s="71"/>
      <c r="C43" s="72"/>
      <c r="F43" s="73"/>
      <c r="G43" s="74"/>
      <c r="H43" s="75" t="s">
        <v>61</v>
      </c>
      <c r="I43" s="76" t="s">
        <v>83</v>
      </c>
      <c r="J43" s="77" t="s">
        <v>120</v>
      </c>
    </row>
    <row r="44" spans="1:10" ht="21" customHeight="1" thickBot="1" x14ac:dyDescent="0.4">
      <c r="A44" s="327" t="s">
        <v>155</v>
      </c>
      <c r="B44" s="328"/>
      <c r="C44" s="328"/>
      <c r="D44" s="329"/>
      <c r="E44" s="80"/>
      <c r="F44" s="81" t="s">
        <v>140</v>
      </c>
      <c r="G44" s="82" t="s">
        <v>0</v>
      </c>
      <c r="H44" s="151">
        <f>H25/PRODUCT(H27,H29,H31,H33,H35,H37,H39,H41)</f>
        <v>6.8888777083778665</v>
      </c>
      <c r="I44" s="152">
        <f>H25/PRODUCT(H27,H29,H31,H33,H35,H37,H39,H41)</f>
        <v>6.8888777083778665</v>
      </c>
      <c r="J44" s="83" t="s">
        <v>119</v>
      </c>
    </row>
    <row r="45" spans="1:10" ht="18.75" customHeight="1" thickBot="1" x14ac:dyDescent="0.4">
      <c r="A45" s="78" t="s">
        <v>140</v>
      </c>
      <c r="B45" s="79" t="s">
        <v>71</v>
      </c>
      <c r="C45" s="164">
        <f>H44/H45</f>
        <v>9.2467626797531566E-2</v>
      </c>
      <c r="D45" s="84" t="str">
        <f>$B$18</f>
        <v>mg/kg body weight per day</v>
      </c>
      <c r="E45" s="85"/>
      <c r="F45" s="86"/>
      <c r="G45" s="87" t="s">
        <v>131</v>
      </c>
      <c r="H45" s="168">
        <f>PRODUCT(H26,H28,H30,H32,H34,H36,H38,H40,H42)</f>
        <v>74.50042730589216</v>
      </c>
      <c r="I45" s="169">
        <f>10^(SQRT(SUM(I26,I28,I30,I32,I34,I36,I38,I40,I42)))</f>
        <v>11.082897390498934</v>
      </c>
      <c r="J45" s="88" t="str">
        <f>CHOOSE(MATCH(MAX(J25:J42),J25:J42,FALSE),F25,F26,F27,F28,F29,F30,F31,F32,F33,F34,F35,F36,F37,F38,F39,F40,F41,F42)</f>
        <v>NOAEL to BMD</v>
      </c>
    </row>
    <row r="46" spans="1:10" ht="15" customHeight="1" x14ac:dyDescent="0.25">
      <c r="A46" s="89"/>
      <c r="B46" s="90" t="s">
        <v>72</v>
      </c>
      <c r="C46" s="165">
        <f>H44*H45</f>
        <v>513.22433293218626</v>
      </c>
      <c r="D46" s="91" t="str">
        <f>$B$18</f>
        <v>mg/kg body weight per day</v>
      </c>
      <c r="E46" s="85"/>
    </row>
    <row r="47" spans="1:10" ht="15" customHeight="1" x14ac:dyDescent="0.25">
      <c r="A47" s="145" t="s">
        <v>64</v>
      </c>
      <c r="B47" s="146"/>
      <c r="C47" s="166">
        <f>C46/C45</f>
        <v>5550.3136687605229</v>
      </c>
      <c r="D47" s="92"/>
      <c r="E47" s="85"/>
      <c r="F47" s="14" t="s">
        <v>50</v>
      </c>
    </row>
    <row r="48" spans="1:10" ht="18.75" customHeight="1" thickBot="1" x14ac:dyDescent="0.4">
      <c r="A48" s="330" t="s">
        <v>141</v>
      </c>
      <c r="B48" s="331"/>
      <c r="C48" s="143"/>
      <c r="D48" s="93">
        <f>1-NORMDIST(LN(C45),LN(H44),LN(I45)/NORMSINV(0.95),TRUE)</f>
        <v>0.99839977033682148</v>
      </c>
      <c r="F48" s="342" t="s">
        <v>192</v>
      </c>
      <c r="G48" s="342"/>
      <c r="H48" s="342"/>
      <c r="I48" s="342"/>
      <c r="J48" s="342"/>
    </row>
    <row r="49" spans="1:10" ht="15" customHeight="1" x14ac:dyDescent="0.25">
      <c r="A49" s="332" t="s">
        <v>108</v>
      </c>
      <c r="B49" s="332"/>
      <c r="C49" s="332"/>
      <c r="D49" s="332"/>
      <c r="F49" s="342" t="s">
        <v>195</v>
      </c>
      <c r="G49" s="342"/>
      <c r="H49" s="342"/>
      <c r="I49" s="342"/>
      <c r="J49" s="342"/>
    </row>
    <row r="50" spans="1:10" ht="15" customHeight="1" thickBot="1" x14ac:dyDescent="0.3">
      <c r="E50" s="72"/>
      <c r="F50" s="342" t="s">
        <v>196</v>
      </c>
      <c r="G50" s="342"/>
      <c r="H50" s="342"/>
      <c r="I50" s="342"/>
      <c r="J50" s="342"/>
    </row>
    <row r="51" spans="1:10" ht="15" customHeight="1" thickBot="1" x14ac:dyDescent="0.3">
      <c r="A51" s="299" t="s">
        <v>84</v>
      </c>
      <c r="B51" s="300"/>
      <c r="C51" s="300"/>
      <c r="D51" s="301"/>
      <c r="F51" s="342" t="s">
        <v>193</v>
      </c>
      <c r="G51" s="342"/>
      <c r="H51" s="342"/>
      <c r="I51" s="342"/>
      <c r="J51" s="342"/>
    </row>
    <row r="52" spans="1:10" ht="15" customHeight="1" x14ac:dyDescent="0.25">
      <c r="A52" s="94" t="s">
        <v>89</v>
      </c>
      <c r="B52" s="95"/>
      <c r="C52" s="96"/>
      <c r="D52" s="97"/>
      <c r="F52" s="342" t="s">
        <v>95</v>
      </c>
      <c r="G52" s="342"/>
      <c r="H52" s="342"/>
      <c r="I52" s="342"/>
      <c r="J52" s="342"/>
    </row>
    <row r="53" spans="1:10" ht="19.5" customHeight="1" x14ac:dyDescent="0.35">
      <c r="A53" s="98" t="s">
        <v>140</v>
      </c>
      <c r="B53" s="99" t="s">
        <v>90</v>
      </c>
      <c r="C53" s="153">
        <f>H44/I45</f>
        <v>0.62157732456167225</v>
      </c>
      <c r="D53" s="100" t="str">
        <f>B18</f>
        <v>mg/kg body weight per day</v>
      </c>
      <c r="F53" s="342" t="s">
        <v>70</v>
      </c>
      <c r="G53" s="342"/>
      <c r="H53" s="342"/>
      <c r="I53" s="342"/>
      <c r="J53" s="342"/>
    </row>
    <row r="54" spans="1:10" ht="15" customHeight="1" x14ac:dyDescent="0.35">
      <c r="A54" s="101"/>
      <c r="B54" s="102" t="s">
        <v>91</v>
      </c>
      <c r="C54" s="154">
        <f>H44*I45</f>
        <v>76.348724777647334</v>
      </c>
      <c r="D54" s="103" t="str">
        <f>B18</f>
        <v>mg/kg body weight per day</v>
      </c>
      <c r="F54" s="342" t="s">
        <v>157</v>
      </c>
      <c r="G54" s="342"/>
      <c r="H54" s="342"/>
      <c r="I54" s="342"/>
      <c r="J54" s="342"/>
    </row>
    <row r="55" spans="1:10" ht="16.5" customHeight="1" x14ac:dyDescent="0.25">
      <c r="A55" s="357" t="s">
        <v>122</v>
      </c>
      <c r="B55" s="358"/>
      <c r="C55" s="139"/>
      <c r="D55" s="167">
        <f>C54/C53</f>
        <v>122.83061456832809</v>
      </c>
      <c r="F55" s="342" t="s">
        <v>94</v>
      </c>
      <c r="G55" s="342"/>
      <c r="H55" s="342"/>
      <c r="I55" s="342"/>
      <c r="J55" s="342"/>
    </row>
    <row r="56" spans="1:10" ht="15" customHeight="1" thickBot="1" x14ac:dyDescent="0.3">
      <c r="A56" s="355" t="s">
        <v>126</v>
      </c>
      <c r="B56" s="356"/>
      <c r="C56" s="104"/>
      <c r="D56" s="105">
        <f>1-NORMDIST(LN(B20),LN(H44),LN(I45)/NORMSINV(0.95),TRUE)</f>
        <v>0.90653281290712007</v>
      </c>
      <c r="F56" s="342" t="s">
        <v>114</v>
      </c>
      <c r="G56" s="342"/>
      <c r="H56" s="342"/>
      <c r="I56" s="342"/>
      <c r="J56" s="342"/>
    </row>
    <row r="57" spans="1:10" ht="16.5" customHeight="1" x14ac:dyDescent="0.25">
      <c r="A57" s="140" t="s">
        <v>150</v>
      </c>
      <c r="B57" s="352" t="s">
        <v>156</v>
      </c>
      <c r="C57" s="353"/>
      <c r="D57" s="354"/>
      <c r="F57" s="342" t="s">
        <v>93</v>
      </c>
      <c r="G57" s="342"/>
      <c r="H57" s="342"/>
      <c r="I57" s="342"/>
      <c r="J57" s="342"/>
    </row>
    <row r="58" spans="1:10" ht="15" customHeight="1" x14ac:dyDescent="0.25">
      <c r="A58" s="155">
        <f>H44/(I45^(NORMSINV(B14)/NORMSINV(0.95)))</f>
        <v>0.62157732456167225</v>
      </c>
      <c r="B58" s="360" t="str">
        <f>CONCATENATE("= Estimate of dose (",B18,") at which, with")</f>
        <v>= Estimate of dose (mg/kg body weight per day) at which, with</v>
      </c>
      <c r="C58" s="360"/>
      <c r="D58" s="361"/>
      <c r="F58" s="342" t="s">
        <v>92</v>
      </c>
      <c r="G58" s="342"/>
      <c r="H58" s="342"/>
      <c r="I58" s="342"/>
      <c r="J58" s="342"/>
    </row>
    <row r="59" spans="1:10" ht="15" customHeight="1" x14ac:dyDescent="0.25">
      <c r="A59" s="107"/>
      <c r="B59" s="142">
        <f>B14</f>
        <v>0.95</v>
      </c>
      <c r="C59" s="108" t="s">
        <v>74</v>
      </c>
      <c r="D59" s="106"/>
      <c r="F59" s="342" t="s">
        <v>159</v>
      </c>
      <c r="G59" s="342"/>
      <c r="H59" s="342"/>
      <c r="I59" s="342"/>
      <c r="J59" s="342"/>
    </row>
    <row r="60" spans="1:10" ht="15" customHeight="1" x14ac:dyDescent="0.25">
      <c r="A60" s="109"/>
      <c r="B60" s="142">
        <f>B13</f>
        <v>0.01</v>
      </c>
      <c r="C60" s="108" t="s">
        <v>65</v>
      </c>
      <c r="D60" s="141" t="str">
        <f>B5</f>
        <v>[e.g. Decreased fetal bw]</v>
      </c>
      <c r="F60" s="342" t="s">
        <v>158</v>
      </c>
      <c r="G60" s="342"/>
      <c r="H60" s="342"/>
      <c r="I60" s="342"/>
      <c r="J60" s="342"/>
    </row>
    <row r="61" spans="1:10" ht="15" customHeight="1" thickBot="1" x14ac:dyDescent="0.3">
      <c r="A61" s="147"/>
      <c r="B61" s="148" t="str">
        <f>IF(B6&lt;&gt;"Quantal-deterministic","of magnitude","")</f>
        <v>of magnitude</v>
      </c>
      <c r="C61" s="149" t="str">
        <f>IF(B6&lt;&gt;"Quantal-deterministic","≥","")</f>
        <v>≥</v>
      </c>
      <c r="D61" s="150">
        <f>IF(B6&lt;&gt;"Quantal-deterministic",IF(B15&lt;&gt;"BMDL",D12,B12),"")</f>
        <v>0.05</v>
      </c>
      <c r="F61" s="342" t="s">
        <v>194</v>
      </c>
      <c r="G61" s="342"/>
      <c r="H61" s="342"/>
      <c r="I61" s="342"/>
      <c r="J61" s="342"/>
    </row>
    <row r="62" spans="1:10" ht="15" customHeight="1" x14ac:dyDescent="0.25">
      <c r="A62" s="110"/>
      <c r="F62" s="342" t="s">
        <v>102</v>
      </c>
      <c r="G62" s="342"/>
      <c r="H62" s="342"/>
      <c r="I62" s="342"/>
      <c r="J62" s="342"/>
    </row>
    <row r="63" spans="1:10" ht="15" customHeight="1" thickBot="1" x14ac:dyDescent="0.3">
      <c r="F63" s="359" t="s">
        <v>103</v>
      </c>
      <c r="G63" s="359"/>
      <c r="H63" s="359"/>
      <c r="I63" s="359"/>
      <c r="J63" s="359"/>
    </row>
    <row r="64" spans="1:10" ht="15" customHeight="1" thickBot="1" x14ac:dyDescent="0.3">
      <c r="A64" s="362" t="s">
        <v>123</v>
      </c>
      <c r="B64" s="363"/>
      <c r="C64" s="363"/>
      <c r="D64" s="364"/>
    </row>
    <row r="65" spans="1:4" x14ac:dyDescent="0.25">
      <c r="A65" s="19" t="s">
        <v>52</v>
      </c>
      <c r="B65" s="20"/>
      <c r="C65" s="21" t="s">
        <v>23</v>
      </c>
      <c r="D65" s="23" t="s">
        <v>25</v>
      </c>
    </row>
    <row r="66" spans="1:4" x14ac:dyDescent="0.25">
      <c r="A66" s="24" t="s">
        <v>170</v>
      </c>
      <c r="B66" s="27"/>
      <c r="C66" s="111">
        <f>D66</f>
        <v>1E-4</v>
      </c>
      <c r="D66" s="112">
        <v>1E-4</v>
      </c>
    </row>
    <row r="67" spans="1:4" x14ac:dyDescent="0.25">
      <c r="A67" s="24" t="s">
        <v>184</v>
      </c>
      <c r="B67" s="27"/>
      <c r="C67" s="111">
        <f>D67</f>
        <v>0.5</v>
      </c>
      <c r="D67" s="36">
        <v>0.5</v>
      </c>
    </row>
    <row r="68" spans="1:4" x14ac:dyDescent="0.25">
      <c r="A68" s="24" t="s">
        <v>130</v>
      </c>
      <c r="B68" s="27"/>
      <c r="C68" s="33">
        <f t="shared" ref="C68:C73" si="3">D68</f>
        <v>0.99</v>
      </c>
      <c r="D68" s="36">
        <v>0.99</v>
      </c>
    </row>
    <row r="69" spans="1:4" x14ac:dyDescent="0.25">
      <c r="A69" s="24" t="s">
        <v>121</v>
      </c>
      <c r="B69" s="27"/>
      <c r="C69" s="33">
        <f t="shared" si="3"/>
        <v>0.95</v>
      </c>
      <c r="D69" s="36">
        <v>0.95</v>
      </c>
    </row>
    <row r="70" spans="1:4" x14ac:dyDescent="0.25">
      <c r="A70" s="8"/>
      <c r="B70" s="9"/>
      <c r="C70" s="33">
        <f t="shared" si="3"/>
        <v>0.9</v>
      </c>
      <c r="D70" s="36">
        <v>0.9</v>
      </c>
    </row>
    <row r="71" spans="1:4" x14ac:dyDescent="0.25">
      <c r="A71" s="8"/>
      <c r="B71" s="9"/>
      <c r="C71" s="33">
        <f t="shared" si="3"/>
        <v>0.1</v>
      </c>
      <c r="D71" s="36">
        <v>0.1</v>
      </c>
    </row>
    <row r="72" spans="1:4" x14ac:dyDescent="0.25">
      <c r="A72" s="8"/>
      <c r="B72" s="9"/>
      <c r="C72" s="33">
        <f t="shared" si="3"/>
        <v>0.05</v>
      </c>
      <c r="D72" s="36">
        <v>0.05</v>
      </c>
    </row>
    <row r="73" spans="1:4" ht="15.75" thickBot="1" x14ac:dyDescent="0.3">
      <c r="A73" s="10"/>
      <c r="B73" s="11"/>
      <c r="C73" s="113">
        <f t="shared" si="3"/>
        <v>0.01</v>
      </c>
      <c r="D73" s="114">
        <v>0.01</v>
      </c>
    </row>
    <row r="74" spans="1:4" x14ac:dyDescent="0.25">
      <c r="A74" s="13"/>
      <c r="B74" s="13"/>
      <c r="C74" s="13"/>
      <c r="D74" s="13"/>
    </row>
    <row r="75" spans="1:4" x14ac:dyDescent="0.25">
      <c r="C75" s="72"/>
    </row>
    <row r="76" spans="1:4" x14ac:dyDescent="0.25">
      <c r="C76" s="72"/>
    </row>
    <row r="77" spans="1:4" x14ac:dyDescent="0.25">
      <c r="A77" s="14"/>
      <c r="C77" s="72"/>
    </row>
    <row r="86" spans="1:9" ht="15.75" thickBot="1" x14ac:dyDescent="0.3"/>
    <row r="87" spans="1:9" ht="15" customHeight="1" thickBot="1" x14ac:dyDescent="0.3">
      <c r="A87" s="324" t="s">
        <v>124</v>
      </c>
      <c r="B87" s="325"/>
      <c r="C87" s="325"/>
      <c r="D87" s="325"/>
      <c r="E87" s="45"/>
      <c r="F87" s="45"/>
      <c r="G87" s="45"/>
      <c r="H87" s="45"/>
      <c r="I87" s="116"/>
    </row>
    <row r="88" spans="1:9" ht="18.75" x14ac:dyDescent="0.35">
      <c r="A88" s="47" t="s">
        <v>171</v>
      </c>
      <c r="B88" s="117" t="s">
        <v>116</v>
      </c>
      <c r="C88" s="75" t="s">
        <v>135</v>
      </c>
      <c r="D88" s="118" t="s">
        <v>142</v>
      </c>
      <c r="E88" s="118" t="s">
        <v>1</v>
      </c>
      <c r="F88" s="119"/>
      <c r="G88" s="119"/>
      <c r="H88" s="119"/>
      <c r="I88" s="120"/>
    </row>
    <row r="89" spans="1:9" x14ac:dyDescent="0.25">
      <c r="A89" s="121">
        <f>$C$66</f>
        <v>1E-4</v>
      </c>
      <c r="B89" s="122">
        <f t="shared" ref="B89:B108" si="4">10^(NORMSINV(1-A89)*(LogGSDHMedian/LogGSDHGSDU^NORMSINV(0.95)+LogGSDHMedian*LogGSDHGSDU^NORMSINV(0.95))/2)</f>
        <v>37.713908246018995</v>
      </c>
      <c r="C89" s="123">
        <f t="shared" ref="C89:C108" si="5">10^(NORMSINV(1-A89)*LogGSDHMedian*LogGSDHGSDU^NORMSINV(0.95))/B89</f>
        <v>10.389036361789117</v>
      </c>
      <c r="D89" s="123">
        <f>$H$25/PRODUCT($H$27,$H$29,$H$31,$H$33,B89,$H$37,$H$39,$H$41)</f>
        <v>1.769262761718702</v>
      </c>
      <c r="E89" s="124">
        <f t="shared" ref="E89:E108" si="6">10^(SQRT(SUM($I$26,$I$28,$I$30,$I$32,$I$34,LOG(C89)^2,$I$38,$I$40,$I$42)))</f>
        <v>20.493953368208572</v>
      </c>
      <c r="F89" s="125"/>
      <c r="G89" s="123"/>
      <c r="H89" s="123"/>
      <c r="I89" s="126"/>
    </row>
    <row r="90" spans="1:9" x14ac:dyDescent="0.25">
      <c r="A90" s="121">
        <f t="shared" ref="A90:A108" si="7">A89*($C$67/$C$66)^(1/19)</f>
        <v>1.5656065579430965E-4</v>
      </c>
      <c r="B90" s="122">
        <f t="shared" si="4"/>
        <v>33.715422004927596</v>
      </c>
      <c r="C90" s="123">
        <f t="shared" si="5"/>
        <v>9.6647250003787555</v>
      </c>
      <c r="D90" s="123">
        <f t="shared" ref="D90:D108" si="8">$H$25/PRODUCT($H$27,$H$29,$H$31,$H$33,B90,$H$37,$H$39,$H$41)</f>
        <v>1.9790887816502829</v>
      </c>
      <c r="E90" s="124">
        <f t="shared" si="6"/>
        <v>19.384427487202473</v>
      </c>
      <c r="F90" s="125"/>
      <c r="G90" s="123"/>
      <c r="H90" s="123"/>
      <c r="I90" s="126"/>
    </row>
    <row r="91" spans="1:9" x14ac:dyDescent="0.25">
      <c r="A91" s="121">
        <f t="shared" si="7"/>
        <v>2.45112389427443E-4</v>
      </c>
      <c r="B91" s="122">
        <f t="shared" si="4"/>
        <v>30.042967506754991</v>
      </c>
      <c r="C91" s="123">
        <f t="shared" si="5"/>
        <v>8.9720709630191937</v>
      </c>
      <c r="D91" s="123">
        <f t="shared" si="8"/>
        <v>2.2210127359607323</v>
      </c>
      <c r="E91" s="124">
        <f t="shared" si="6"/>
        <v>18.319341598763994</v>
      </c>
      <c r="F91" s="125"/>
      <c r="G91" s="123"/>
      <c r="H91" s="123"/>
      <c r="I91" s="126"/>
    </row>
    <row r="92" spans="1:9" x14ac:dyDescent="0.25">
      <c r="A92" s="121">
        <f t="shared" si="7"/>
        <v>3.8374956432070688E-4</v>
      </c>
      <c r="B92" s="122">
        <f t="shared" si="4"/>
        <v>26.675845137584673</v>
      </c>
      <c r="C92" s="123">
        <f t="shared" si="5"/>
        <v>8.3100491072110252</v>
      </c>
      <c r="D92" s="123">
        <f t="shared" si="8"/>
        <v>2.501357055958636</v>
      </c>
      <c r="E92" s="124">
        <f t="shared" si="6"/>
        <v>17.297577764206618</v>
      </c>
      <c r="F92" s="125"/>
      <c r="G92" s="123"/>
      <c r="H92" s="123"/>
      <c r="I92" s="126"/>
    </row>
    <row r="93" spans="1:9" x14ac:dyDescent="0.25">
      <c r="A93" s="121">
        <f t="shared" si="7"/>
        <v>6.0080083450830477E-4</v>
      </c>
      <c r="B93" s="122">
        <f t="shared" si="4"/>
        <v>23.594409064384127</v>
      </c>
      <c r="C93" s="123">
        <f t="shared" si="5"/>
        <v>7.6776498530697461</v>
      </c>
      <c r="D93" s="123">
        <f t="shared" si="8"/>
        <v>2.8280349499950064</v>
      </c>
      <c r="E93" s="124">
        <f t="shared" si="6"/>
        <v>16.318075687351659</v>
      </c>
      <c r="F93" s="125"/>
      <c r="G93" s="123"/>
      <c r="H93" s="123"/>
      <c r="I93" s="126"/>
    </row>
    <row r="94" spans="1:9" x14ac:dyDescent="0.25">
      <c r="A94" s="121">
        <f t="shared" si="7"/>
        <v>9.4061772652388699E-4</v>
      </c>
      <c r="B94" s="122">
        <f t="shared" si="4"/>
        <v>20.78002224977039</v>
      </c>
      <c r="C94" s="123">
        <f t="shared" si="5"/>
        <v>7.0738767723473481</v>
      </c>
      <c r="D94" s="123">
        <f t="shared" si="8"/>
        <v>3.2110559197930879</v>
      </c>
      <c r="E94" s="124">
        <f t="shared" si="6"/>
        <v>15.379840790591864</v>
      </c>
      <c r="F94" s="125"/>
      <c r="G94" s="123"/>
      <c r="H94" s="123"/>
      <c r="I94" s="126"/>
    </row>
    <row r="95" spans="1:9" x14ac:dyDescent="0.25">
      <c r="A95" s="121">
        <f t="shared" si="7"/>
        <v>1.4726372811633235E-3</v>
      </c>
      <c r="B95" s="122">
        <f t="shared" si="4"/>
        <v>18.215012822104402</v>
      </c>
      <c r="C95" s="123">
        <f t="shared" si="5"/>
        <v>6.497743524027042</v>
      </c>
      <c r="D95" s="123">
        <f t="shared" si="8"/>
        <v>3.6632317588919698</v>
      </c>
      <c r="E95" s="124">
        <f t="shared" si="6"/>
        <v>14.481955474939872</v>
      </c>
      <c r="F95" s="125"/>
      <c r="G95" s="123"/>
      <c r="H95" s="123"/>
      <c r="I95" s="126"/>
    </row>
    <row r="96" spans="1:9" x14ac:dyDescent="0.25">
      <c r="A96" s="121">
        <f t="shared" si="7"/>
        <v>2.3055705848607907E-3</v>
      </c>
      <c r="B96" s="122">
        <f t="shared" si="4"/>
        <v>15.882631635664882</v>
      </c>
      <c r="C96" s="123">
        <f t="shared" si="5"/>
        <v>5.9482698579999136</v>
      </c>
      <c r="D96" s="123">
        <f t="shared" si="8"/>
        <v>4.2011812015285086</v>
      </c>
      <c r="E96" s="124">
        <f t="shared" si="6"/>
        <v>13.623595031559928</v>
      </c>
      <c r="F96" s="125"/>
      <c r="G96" s="123"/>
      <c r="H96" s="123"/>
      <c r="I96" s="126"/>
    </row>
    <row r="97" spans="1:9" x14ac:dyDescent="0.25">
      <c r="A97" s="121">
        <f t="shared" si="7"/>
        <v>3.6096164274587541E-3</v>
      </c>
      <c r="B97" s="122">
        <f t="shared" si="4"/>
        <v>13.76701078845649</v>
      </c>
      <c r="C97" s="123">
        <f t="shared" si="5"/>
        <v>5.4244762621842399</v>
      </c>
      <c r="D97" s="123">
        <f t="shared" si="8"/>
        <v>4.8467902352852272</v>
      </c>
      <c r="E97" s="124">
        <f t="shared" si="6"/>
        <v>12.804050508358708</v>
      </c>
      <c r="F97" s="125"/>
      <c r="G97" s="123"/>
      <c r="H97" s="123"/>
      <c r="I97" s="126"/>
    </row>
    <row r="98" spans="1:9" x14ac:dyDescent="0.25">
      <c r="A98" s="121">
        <f t="shared" si="7"/>
        <v>5.6512391504885571E-3</v>
      </c>
      <c r="B98" s="122">
        <f t="shared" si="4"/>
        <v>11.853122749808991</v>
      </c>
      <c r="C98" s="123">
        <f t="shared" si="5"/>
        <v>4.9253765877638065</v>
      </c>
      <c r="D98" s="123">
        <f t="shared" si="8"/>
        <v>5.6293868600688004</v>
      </c>
      <c r="E98" s="124">
        <f t="shared" si="6"/>
        <v>12.022762253902037</v>
      </c>
      <c r="F98" s="125"/>
      <c r="G98" s="123"/>
      <c r="H98" s="123"/>
      <c r="I98" s="126"/>
    </row>
    <row r="99" spans="1:9" x14ac:dyDescent="0.25">
      <c r="A99" s="121">
        <f t="shared" si="7"/>
        <v>8.8476170745096592E-3</v>
      </c>
      <c r="B99" s="122">
        <f t="shared" si="4"/>
        <v>10.126739545715937</v>
      </c>
      <c r="C99" s="123">
        <f t="shared" si="5"/>
        <v>4.449967577125479</v>
      </c>
      <c r="D99" s="123">
        <f t="shared" si="8"/>
        <v>6.5890717498294196</v>
      </c>
      <c r="E99" s="124">
        <f t="shared" si="6"/>
        <v>11.279370356758328</v>
      </c>
      <c r="F99" s="125"/>
      <c r="G99" s="123"/>
      <c r="H99" s="123"/>
      <c r="I99" s="126"/>
    </row>
    <row r="100" spans="1:9" x14ac:dyDescent="0.25">
      <c r="A100" s="121">
        <f t="shared" si="7"/>
        <v>1.3851887314021637E-2</v>
      </c>
      <c r="B100" s="122">
        <f t="shared" si="4"/>
        <v>8.5743910750378252</v>
      </c>
      <c r="C100" s="123">
        <f t="shared" si="5"/>
        <v>3.9972134922872034</v>
      </c>
      <c r="D100" s="123">
        <f t="shared" si="8"/>
        <v>7.7819885837505884</v>
      </c>
      <c r="E100" s="124">
        <f t="shared" si="6"/>
        <v>10.573792776722213</v>
      </c>
      <c r="F100" s="125"/>
      <c r="G100" s="123"/>
      <c r="H100" s="123"/>
      <c r="I100" s="126"/>
    </row>
    <row r="101" spans="1:9" x14ac:dyDescent="0.25">
      <c r="A101" s="121">
        <f t="shared" si="7"/>
        <v>2.1686605618721058E-2</v>
      </c>
      <c r="B101" s="122">
        <f t="shared" si="4"/>
        <v>7.1833209108007052</v>
      </c>
      <c r="C101" s="123">
        <f t="shared" si="5"/>
        <v>3.5660226929084557</v>
      </c>
      <c r="D101" s="123">
        <f t="shared" si="8"/>
        <v>9.288992415503758</v>
      </c>
      <c r="E101" s="124">
        <f t="shared" si="6"/>
        <v>9.9063507852205213</v>
      </c>
      <c r="F101" s="125"/>
      <c r="G101" s="123"/>
      <c r="H101" s="123"/>
      <c r="I101" s="126"/>
    </row>
    <row r="102" spans="1:9" x14ac:dyDescent="0.25">
      <c r="A102" s="121">
        <f t="shared" si="7"/>
        <v>3.3952691976195291E-2</v>
      </c>
      <c r="B102" s="122">
        <f t="shared" si="4"/>
        <v>5.9414364867249105</v>
      </c>
      <c r="C102" s="123">
        <f t="shared" si="5"/>
        <v>3.1552103695810789</v>
      </c>
      <c r="D102" s="123">
        <f t="shared" si="8"/>
        <v>11.230586005193244</v>
      </c>
      <c r="E102" s="124">
        <f t="shared" si="6"/>
        <v>9.2779793492056175</v>
      </c>
      <c r="F102" s="125"/>
      <c r="G102" s="123"/>
      <c r="H102" s="123"/>
      <c r="I102" s="126"/>
    </row>
    <row r="103" spans="1:9" x14ac:dyDescent="0.25">
      <c r="A103" s="121">
        <f t="shared" si="7"/>
        <v>5.3156557217753302E-2</v>
      </c>
      <c r="B103" s="122">
        <f t="shared" si="4"/>
        <v>4.8372474308941076</v>
      </c>
      <c r="C103" s="123">
        <f t="shared" si="5"/>
        <v>2.7634361030808745</v>
      </c>
      <c r="D103" s="123">
        <f t="shared" si="8"/>
        <v>13.794170013383793</v>
      </c>
      <c r="E103" s="124">
        <f t="shared" si="6"/>
        <v>8.6905995961868072</v>
      </c>
      <c r="F103" s="125"/>
      <c r="G103" s="123"/>
      <c r="H103" s="123"/>
      <c r="I103" s="126"/>
    </row>
    <row r="104" spans="1:9" x14ac:dyDescent="0.25">
      <c r="A104" s="121">
        <f t="shared" si="7"/>
        <v>8.3222254577792004E-2</v>
      </c>
      <c r="B104" s="122">
        <f t="shared" si="4"/>
        <v>3.8597784662833399</v>
      </c>
      <c r="C104" s="123">
        <f t="shared" si="5"/>
        <v>2.3890923421199757</v>
      </c>
      <c r="D104" s="123">
        <f t="shared" si="8"/>
        <v>17.287472335895213</v>
      </c>
      <c r="E104" s="124">
        <f t="shared" si="6"/>
        <v>8.1478250804471148</v>
      </c>
      <c r="F104" s="125"/>
      <c r="G104" s="123"/>
      <c r="H104" s="123"/>
      <c r="I104" s="126"/>
    </row>
    <row r="105" spans="1:9" x14ac:dyDescent="0.25">
      <c r="A105" s="121">
        <f t="shared" si="7"/>
        <v>0.13029330753380103</v>
      </c>
      <c r="B105" s="122">
        <f t="shared" si="4"/>
        <v>2.9984242511294705</v>
      </c>
      <c r="C105" s="123">
        <f t="shared" si="5"/>
        <v>2.0300881624731244</v>
      </c>
      <c r="D105" s="123">
        <f t="shared" si="8"/>
        <v>22.253626528474907</v>
      </c>
      <c r="E105" s="124">
        <f t="shared" si="6"/>
        <v>7.6564270539468406</v>
      </c>
      <c r="F105" s="125"/>
      <c r="G105" s="123"/>
      <c r="H105" s="123"/>
      <c r="I105" s="126"/>
    </row>
    <row r="106" spans="1:9" x14ac:dyDescent="0.25">
      <c r="A106" s="121">
        <f t="shared" si="7"/>
        <v>0.20398805673101555</v>
      </c>
      <c r="B106" s="122">
        <f t="shared" si="4"/>
        <v>2.2426568269827332</v>
      </c>
      <c r="C106" s="123">
        <f t="shared" si="5"/>
        <v>1.6833806917550964</v>
      </c>
      <c r="D106" s="123">
        <f t="shared" si="8"/>
        <v>29.753020014359528</v>
      </c>
      <c r="E106" s="124">
        <f t="shared" si="6"/>
        <v>7.2297738424072042</v>
      </c>
      <c r="F106" s="125"/>
      <c r="G106" s="123"/>
      <c r="H106" s="123"/>
      <c r="I106" s="126"/>
    </row>
    <row r="107" spans="1:9" x14ac:dyDescent="0.25">
      <c r="A107" s="121">
        <f t="shared" si="7"/>
        <v>0.31936503936014637</v>
      </c>
      <c r="B107" s="122">
        <f t="shared" si="4"/>
        <v>1.5812910557638242</v>
      </c>
      <c r="C107" s="123">
        <f t="shared" si="5"/>
        <v>1.3437818171440863</v>
      </c>
      <c r="D107" s="123">
        <f t="shared" si="8"/>
        <v>42.197047289517599</v>
      </c>
      <c r="E107" s="124">
        <f t="shared" si="6"/>
        <v>6.8975123764732231</v>
      </c>
      <c r="F107" s="125"/>
      <c r="G107" s="123"/>
      <c r="H107" s="123"/>
      <c r="I107" s="126"/>
    </row>
    <row r="108" spans="1:9" x14ac:dyDescent="0.25">
      <c r="A108" s="121">
        <f t="shared" si="7"/>
        <v>0.50000000000000033</v>
      </c>
      <c r="B108" s="122">
        <f t="shared" si="4"/>
        <v>0.99999999999999911</v>
      </c>
      <c r="C108" s="123">
        <f t="shared" si="5"/>
        <v>0.99999999999999956</v>
      </c>
      <c r="D108" s="123">
        <f t="shared" si="8"/>
        <v>66.725813458557354</v>
      </c>
      <c r="E108" s="124">
        <f t="shared" si="6"/>
        <v>6.7424311029405555</v>
      </c>
      <c r="F108" s="125"/>
      <c r="G108" s="123"/>
      <c r="H108" s="123"/>
      <c r="I108" s="126"/>
    </row>
    <row r="109" spans="1:9" ht="15.75" thickBot="1" x14ac:dyDescent="0.3">
      <c r="A109" s="67"/>
      <c r="B109" s="122"/>
      <c r="C109" s="123"/>
      <c r="D109" s="123"/>
      <c r="E109" s="123"/>
      <c r="F109" s="125"/>
      <c r="G109" s="123"/>
      <c r="H109" s="123"/>
      <c r="I109" s="126"/>
    </row>
    <row r="110" spans="1:9" x14ac:dyDescent="0.25">
      <c r="A110" s="73"/>
      <c r="B110" s="75" t="s">
        <v>115</v>
      </c>
      <c r="C110" s="75"/>
      <c r="D110" s="75"/>
      <c r="E110" s="75"/>
      <c r="F110" s="75"/>
      <c r="G110" s="75"/>
      <c r="H110" s="127"/>
      <c r="I110" s="128"/>
    </row>
    <row r="111" spans="1:9" ht="30" x14ac:dyDescent="0.25">
      <c r="A111" s="129" t="s">
        <v>171</v>
      </c>
      <c r="B111" s="130">
        <f>C68</f>
        <v>0.99</v>
      </c>
      <c r="C111" s="131">
        <f>C69</f>
        <v>0.95</v>
      </c>
      <c r="D111" s="131">
        <f>C70</f>
        <v>0.9</v>
      </c>
      <c r="E111" s="131">
        <f>C71</f>
        <v>0.1</v>
      </c>
      <c r="F111" s="132">
        <f>C72</f>
        <v>0.05</v>
      </c>
      <c r="G111" s="131">
        <f>C73</f>
        <v>0.01</v>
      </c>
      <c r="H111" s="133" t="s">
        <v>125</v>
      </c>
      <c r="I111" s="7" t="str">
        <f>A21</f>
        <v>Exposure estimate (optional)</v>
      </c>
    </row>
    <row r="112" spans="1:9" ht="30" customHeight="1" x14ac:dyDescent="0.25">
      <c r="A112" s="121">
        <f>$C$66</f>
        <v>1E-4</v>
      </c>
      <c r="B112" s="122">
        <f t="shared" ref="B112:G121" si="9">$D89/($E89^(NORMSINV(B$111)/NORMSINV(0.95)))</f>
        <v>2.4702164941151284E-2</v>
      </c>
      <c r="C112" s="122">
        <f t="shared" si="9"/>
        <v>8.6330964549928502E-2</v>
      </c>
      <c r="D112" s="122">
        <f t="shared" si="9"/>
        <v>0.16821625322275885</v>
      </c>
      <c r="E112" s="122">
        <f t="shared" si="9"/>
        <v>18.608729299535817</v>
      </c>
      <c r="F112" s="122">
        <f t="shared" si="9"/>
        <v>36.259188534771077</v>
      </c>
      <c r="G112" s="122">
        <f t="shared" si="9"/>
        <v>126.72131076210829</v>
      </c>
      <c r="H112" s="126">
        <f t="shared" ref="H112:H131" si="10">$B$20</f>
        <v>1</v>
      </c>
      <c r="I112" s="134">
        <f t="shared" ref="I112:I131" si="11">IF($B$21="","",$B$21)</f>
        <v>1</v>
      </c>
    </row>
    <row r="113" spans="1:9" x14ac:dyDescent="0.25">
      <c r="A113" s="121">
        <f t="shared" ref="A113:A131" si="12">A112*($C$67/$C$66)^(1/19)</f>
        <v>1.5656065579430965E-4</v>
      </c>
      <c r="B113" s="122">
        <f t="shared" si="9"/>
        <v>2.9894821190446421E-2</v>
      </c>
      <c r="C113" s="122">
        <f t="shared" si="9"/>
        <v>0.10209683948400694</v>
      </c>
      <c r="D113" s="122">
        <f t="shared" si="9"/>
        <v>0.19650543844098492</v>
      </c>
      <c r="E113" s="122">
        <f t="shared" si="9"/>
        <v>19.932234124045902</v>
      </c>
      <c r="F113" s="122">
        <f t="shared" si="9"/>
        <v>38.363502978635864</v>
      </c>
      <c r="G113" s="122">
        <f t="shared" si="9"/>
        <v>131.01909460176677</v>
      </c>
      <c r="H113" s="126">
        <f t="shared" si="10"/>
        <v>1</v>
      </c>
      <c r="I113" s="134">
        <f t="shared" si="11"/>
        <v>1</v>
      </c>
    </row>
    <row r="114" spans="1:9" x14ac:dyDescent="0.25">
      <c r="A114" s="121">
        <f t="shared" si="12"/>
        <v>2.45112389427443E-4</v>
      </c>
      <c r="B114" s="122">
        <f t="shared" si="9"/>
        <v>3.6340720368338617E-2</v>
      </c>
      <c r="C114" s="122">
        <f t="shared" si="9"/>
        <v>0.12123867683708589</v>
      </c>
      <c r="D114" s="122">
        <f t="shared" si="9"/>
        <v>0.23045311205280905</v>
      </c>
      <c r="E114" s="122">
        <f t="shared" si="9"/>
        <v>21.405211365379127</v>
      </c>
      <c r="F114" s="122">
        <f t="shared" si="9"/>
        <v>40.687491005270147</v>
      </c>
      <c r="G114" s="122">
        <f t="shared" si="9"/>
        <v>135.74022538082377</v>
      </c>
      <c r="H114" s="126">
        <f t="shared" si="10"/>
        <v>1</v>
      </c>
      <c r="I114" s="134">
        <f t="shared" si="11"/>
        <v>1</v>
      </c>
    </row>
    <row r="115" spans="1:9" x14ac:dyDescent="0.25">
      <c r="A115" s="121">
        <f t="shared" si="12"/>
        <v>3.8374956432070688E-4</v>
      </c>
      <c r="B115" s="122">
        <f t="shared" si="9"/>
        <v>4.4388397488085596E-2</v>
      </c>
      <c r="C115" s="122">
        <f t="shared" si="9"/>
        <v>0.14460736006255295</v>
      </c>
      <c r="D115" s="122">
        <f t="shared" si="9"/>
        <v>0.27141050200406641</v>
      </c>
      <c r="E115" s="122">
        <f t="shared" si="9"/>
        <v>23.052855638210762</v>
      </c>
      <c r="F115" s="122">
        <f t="shared" si="9"/>
        <v>43.267418191491515</v>
      </c>
      <c r="G115" s="122">
        <f t="shared" si="9"/>
        <v>140.95546303678691</v>
      </c>
      <c r="H115" s="126">
        <f t="shared" si="10"/>
        <v>1</v>
      </c>
      <c r="I115" s="134">
        <f t="shared" si="11"/>
        <v>1</v>
      </c>
    </row>
    <row r="116" spans="1:9" x14ac:dyDescent="0.25">
      <c r="A116" s="121">
        <f t="shared" si="12"/>
        <v>6.0080083450830477E-4</v>
      </c>
      <c r="B116" s="122">
        <f t="shared" si="9"/>
        <v>5.449842409189222E-2</v>
      </c>
      <c r="C116" s="122">
        <f t="shared" si="9"/>
        <v>0.17330689011248129</v>
      </c>
      <c r="D116" s="122">
        <f t="shared" si="9"/>
        <v>0.32111486324590172</v>
      </c>
      <c r="E116" s="122">
        <f t="shared" si="9"/>
        <v>24.906295515411124</v>
      </c>
      <c r="F116" s="122">
        <f t="shared" si="9"/>
        <v>46.148088360494363</v>
      </c>
      <c r="G116" s="122">
        <f t="shared" si="9"/>
        <v>146.75253113572316</v>
      </c>
      <c r="H116" s="126">
        <f t="shared" si="10"/>
        <v>1</v>
      </c>
      <c r="I116" s="134">
        <f t="shared" si="11"/>
        <v>1</v>
      </c>
    </row>
    <row r="117" spans="1:9" x14ac:dyDescent="0.25">
      <c r="A117" s="121">
        <f t="shared" si="12"/>
        <v>9.4061772652388699E-4</v>
      </c>
      <c r="B117" s="122">
        <f t="shared" si="9"/>
        <v>6.7285150895231946E-2</v>
      </c>
      <c r="C117" s="122">
        <f t="shared" si="9"/>
        <v>0.20878343043429623</v>
      </c>
      <c r="D117" s="122">
        <f t="shared" si="9"/>
        <v>0.38182153608568897</v>
      </c>
      <c r="E117" s="122">
        <f t="shared" si="9"/>
        <v>27.004448794958098</v>
      </c>
      <c r="F117" s="122">
        <f t="shared" si="9"/>
        <v>49.3855288161053</v>
      </c>
      <c r="G117" s="122">
        <f t="shared" si="9"/>
        <v>153.24153966887957</v>
      </c>
      <c r="H117" s="126">
        <f t="shared" si="10"/>
        <v>1</v>
      </c>
      <c r="I117" s="134">
        <f t="shared" si="11"/>
        <v>1</v>
      </c>
    </row>
    <row r="118" spans="1:9" x14ac:dyDescent="0.25">
      <c r="A118" s="121">
        <f t="shared" si="12"/>
        <v>1.4726372811633235E-3</v>
      </c>
      <c r="B118" s="122">
        <f t="shared" si="9"/>
        <v>8.3576527543825968E-2</v>
      </c>
      <c r="C118" s="122">
        <f t="shared" si="9"/>
        <v>0.25295145847057504</v>
      </c>
      <c r="D118" s="122">
        <f t="shared" si="9"/>
        <v>0.45649011791283539</v>
      </c>
      <c r="E118" s="122">
        <f t="shared" si="9"/>
        <v>29.396620852846372</v>
      </c>
      <c r="F118" s="122">
        <f t="shared" si="9"/>
        <v>53.050759226659281</v>
      </c>
      <c r="G118" s="122">
        <f t="shared" si="9"/>
        <v>160.56262821302241</v>
      </c>
      <c r="H118" s="126">
        <f t="shared" si="10"/>
        <v>1</v>
      </c>
      <c r="I118" s="134">
        <f t="shared" si="11"/>
        <v>1</v>
      </c>
    </row>
    <row r="119" spans="1:9" x14ac:dyDescent="0.25">
      <c r="A119" s="121">
        <f t="shared" si="12"/>
        <v>2.3055705848607907E-3</v>
      </c>
      <c r="B119" s="122">
        <f t="shared" si="9"/>
        <v>0.10450112839851311</v>
      </c>
      <c r="C119" s="122">
        <f t="shared" si="9"/>
        <v>0.30837537315196201</v>
      </c>
      <c r="D119" s="122">
        <f t="shared" si="9"/>
        <v>0.54905131534402118</v>
      </c>
      <c r="E119" s="122">
        <f t="shared" si="9"/>
        <v>32.146218385830736</v>
      </c>
      <c r="F119" s="122">
        <f t="shared" si="9"/>
        <v>57.23519134382687</v>
      </c>
      <c r="G119" s="122">
        <f t="shared" si="9"/>
        <v>168.89696559800643</v>
      </c>
      <c r="H119" s="126">
        <f t="shared" si="10"/>
        <v>1</v>
      </c>
      <c r="I119" s="134">
        <f t="shared" si="11"/>
        <v>1</v>
      </c>
    </row>
    <row r="120" spans="1:9" x14ac:dyDescent="0.25">
      <c r="A120" s="121">
        <f t="shared" si="12"/>
        <v>3.6096164274587541E-3</v>
      </c>
      <c r="B120" s="122">
        <f t="shared" si="9"/>
        <v>0.13161691124334984</v>
      </c>
      <c r="C120" s="122">
        <f t="shared" si="9"/>
        <v>0.37853570103625861</v>
      </c>
      <c r="D120" s="122">
        <f t="shared" si="9"/>
        <v>0.66479668153897187</v>
      </c>
      <c r="E120" s="122">
        <f t="shared" si="9"/>
        <v>35.336180575502929</v>
      </c>
      <c r="F120" s="122">
        <f t="shared" si="9"/>
        <v>62.058546976011939</v>
      </c>
      <c r="G120" s="122">
        <f t="shared" si="9"/>
        <v>178.48295756935389</v>
      </c>
      <c r="H120" s="126">
        <f t="shared" si="10"/>
        <v>1</v>
      </c>
      <c r="I120" s="134">
        <f t="shared" si="11"/>
        <v>1</v>
      </c>
    </row>
    <row r="121" spans="1:9" x14ac:dyDescent="0.25">
      <c r="A121" s="121">
        <f t="shared" si="12"/>
        <v>5.6512391504885571E-3</v>
      </c>
      <c r="B121" s="122">
        <f t="shared" si="9"/>
        <v>0.16710539108467573</v>
      </c>
      <c r="C121" s="122">
        <f t="shared" si="9"/>
        <v>0.4682274124019844</v>
      </c>
      <c r="D121" s="122">
        <f t="shared" si="9"/>
        <v>0.81096013266715039</v>
      </c>
      <c r="E121" s="122">
        <f t="shared" si="9"/>
        <v>39.077132332129175</v>
      </c>
      <c r="F121" s="122">
        <f t="shared" si="9"/>
        <v>67.680779853847397</v>
      </c>
      <c r="G121" s="122">
        <f t="shared" si="9"/>
        <v>189.64077828139784</v>
      </c>
      <c r="H121" s="126">
        <f t="shared" si="10"/>
        <v>1</v>
      </c>
      <c r="I121" s="134">
        <f t="shared" si="11"/>
        <v>1</v>
      </c>
    </row>
    <row r="122" spans="1:9" x14ac:dyDescent="0.25">
      <c r="A122" s="121">
        <f t="shared" si="12"/>
        <v>8.8476170745096592E-3</v>
      </c>
      <c r="B122" s="122">
        <f t="shared" ref="B122:G131" si="13">$D99/($E99^(NORMSINV(B$111)/NORMSINV(0.95)))</f>
        <v>0.21407092339134093</v>
      </c>
      <c r="C122" s="122">
        <f t="shared" si="13"/>
        <v>0.58417017452409525</v>
      </c>
      <c r="D122" s="122">
        <f t="shared" si="13"/>
        <v>0.99760727933874083</v>
      </c>
      <c r="E122" s="122">
        <f t="shared" si="13"/>
        <v>43.519997722127819</v>
      </c>
      <c r="F122" s="122">
        <f t="shared" si="13"/>
        <v>74.320580573579818</v>
      </c>
      <c r="G122" s="122">
        <f t="shared" si="13"/>
        <v>202.81066590735452</v>
      </c>
      <c r="H122" s="126">
        <f t="shared" si="10"/>
        <v>1</v>
      </c>
      <c r="I122" s="134">
        <f t="shared" si="11"/>
        <v>1</v>
      </c>
    </row>
    <row r="123" spans="1:9" x14ac:dyDescent="0.25">
      <c r="A123" s="121">
        <f t="shared" si="12"/>
        <v>1.3851887314021637E-2</v>
      </c>
      <c r="B123" s="122">
        <f t="shared" si="13"/>
        <v>0.27701381619974891</v>
      </c>
      <c r="C123" s="122">
        <f t="shared" si="13"/>
        <v>0.73596946224275639</v>
      </c>
      <c r="D123" s="122">
        <f t="shared" si="13"/>
        <v>1.2390352673672349</v>
      </c>
      <c r="E123" s="122">
        <f t="shared" si="13"/>
        <v>48.876208702520685</v>
      </c>
      <c r="F123" s="122">
        <f t="shared" si="13"/>
        <v>82.285134675396847</v>
      </c>
      <c r="G123" s="122">
        <f t="shared" si="13"/>
        <v>218.61489491179893</v>
      </c>
      <c r="H123" s="126">
        <f t="shared" si="10"/>
        <v>1</v>
      </c>
      <c r="I123" s="134">
        <f t="shared" si="11"/>
        <v>1</v>
      </c>
    </row>
    <row r="124" spans="1:9" x14ac:dyDescent="0.25">
      <c r="A124" s="121">
        <f t="shared" si="12"/>
        <v>2.1686605618721058E-2</v>
      </c>
      <c r="B124" s="122">
        <f t="shared" si="13"/>
        <v>0.36260087987349904</v>
      </c>
      <c r="C124" s="122">
        <f t="shared" si="13"/>
        <v>0.93768054623728725</v>
      </c>
      <c r="D124" s="122">
        <f t="shared" si="13"/>
        <v>1.5560527935789175</v>
      </c>
      <c r="E124" s="122">
        <f t="shared" si="13"/>
        <v>55.451447695955224</v>
      </c>
      <c r="F124" s="122">
        <f t="shared" si="13"/>
        <v>92.020017309233239</v>
      </c>
      <c r="G124" s="122">
        <f t="shared" si="13"/>
        <v>237.96241235098165</v>
      </c>
      <c r="H124" s="126">
        <f t="shared" si="10"/>
        <v>1</v>
      </c>
      <c r="I124" s="134">
        <f t="shared" si="11"/>
        <v>1</v>
      </c>
    </row>
    <row r="125" spans="1:9" x14ac:dyDescent="0.25">
      <c r="A125" s="121">
        <f t="shared" si="12"/>
        <v>3.3952691976195291E-2</v>
      </c>
      <c r="B125" s="122">
        <f t="shared" si="13"/>
        <v>0.48096625830287465</v>
      </c>
      <c r="C125" s="122">
        <f t="shared" si="13"/>
        <v>1.210456025228684</v>
      </c>
      <c r="D125" s="122">
        <f t="shared" si="13"/>
        <v>1.9798503080479244</v>
      </c>
      <c r="E125" s="122">
        <f t="shared" si="13"/>
        <v>63.704847536882234</v>
      </c>
      <c r="F125" s="122">
        <f t="shared" si="13"/>
        <v>104.19714503566067</v>
      </c>
      <c r="G125" s="122">
        <f t="shared" si="13"/>
        <v>262.23474067617042</v>
      </c>
      <c r="H125" s="126">
        <f t="shared" si="10"/>
        <v>1</v>
      </c>
      <c r="I125" s="134">
        <f t="shared" si="11"/>
        <v>1</v>
      </c>
    </row>
    <row r="126" spans="1:9" x14ac:dyDescent="0.25">
      <c r="A126" s="121">
        <f t="shared" si="12"/>
        <v>5.3156557217753302E-2</v>
      </c>
      <c r="B126" s="122">
        <f t="shared" si="13"/>
        <v>0.64800686277215402</v>
      </c>
      <c r="C126" s="122">
        <f t="shared" si="13"/>
        <v>1.5872518185553377</v>
      </c>
      <c r="D126" s="122">
        <f t="shared" si="13"/>
        <v>2.5589134665506408</v>
      </c>
      <c r="E126" s="122">
        <f t="shared" si="13"/>
        <v>74.359343856448859</v>
      </c>
      <c r="F126" s="122">
        <f t="shared" si="13"/>
        <v>119.87960834804554</v>
      </c>
      <c r="G126" s="122">
        <f t="shared" si="13"/>
        <v>293.63751726969093</v>
      </c>
      <c r="H126" s="126">
        <f t="shared" si="10"/>
        <v>1</v>
      </c>
      <c r="I126" s="134">
        <f t="shared" si="11"/>
        <v>1</v>
      </c>
    </row>
    <row r="127" spans="1:9" x14ac:dyDescent="0.25">
      <c r="A127" s="121">
        <f t="shared" si="12"/>
        <v>8.3222254577792004E-2</v>
      </c>
      <c r="B127" s="122">
        <f t="shared" si="13"/>
        <v>0.88966773471611815</v>
      </c>
      <c r="C127" s="122">
        <f t="shared" si="13"/>
        <v>2.1217284570064132</v>
      </c>
      <c r="D127" s="122">
        <f t="shared" si="13"/>
        <v>3.372200402219709</v>
      </c>
      <c r="E127" s="122">
        <f t="shared" si="13"/>
        <v>88.623647505534834</v>
      </c>
      <c r="F127" s="122">
        <f t="shared" si="13"/>
        <v>140.85530067594286</v>
      </c>
      <c r="G127" s="122">
        <f t="shared" si="13"/>
        <v>335.91945408664702</v>
      </c>
      <c r="H127" s="126">
        <f t="shared" si="10"/>
        <v>1</v>
      </c>
      <c r="I127" s="134">
        <f t="shared" si="11"/>
        <v>1</v>
      </c>
    </row>
    <row r="128" spans="1:9" x14ac:dyDescent="0.25">
      <c r="A128" s="121">
        <f t="shared" si="12"/>
        <v>0.13029330753380103</v>
      </c>
      <c r="B128" s="122">
        <f t="shared" si="13"/>
        <v>1.2505634808921491</v>
      </c>
      <c r="C128" s="122">
        <f t="shared" si="13"/>
        <v>2.9065289033222488</v>
      </c>
      <c r="D128" s="122">
        <f t="shared" si="13"/>
        <v>4.5564986234199898</v>
      </c>
      <c r="E128" s="122">
        <f t="shared" si="13"/>
        <v>108.68518452379998</v>
      </c>
      <c r="F128" s="122">
        <f t="shared" si="13"/>
        <v>170.38326820104464</v>
      </c>
      <c r="G128" s="122">
        <f t="shared" si="13"/>
        <v>396.00060391620468</v>
      </c>
      <c r="H128" s="126">
        <f t="shared" si="10"/>
        <v>1</v>
      </c>
      <c r="I128" s="134">
        <f t="shared" si="11"/>
        <v>1</v>
      </c>
    </row>
    <row r="129" spans="1:9" x14ac:dyDescent="0.25">
      <c r="A129" s="121">
        <f t="shared" si="12"/>
        <v>0.20398805673101555</v>
      </c>
      <c r="B129" s="122">
        <f t="shared" si="13"/>
        <v>1.8132370270545974</v>
      </c>
      <c r="C129" s="122">
        <f t="shared" si="13"/>
        <v>4.1153458825833829</v>
      </c>
      <c r="D129" s="122">
        <f t="shared" si="13"/>
        <v>6.3703443691271788</v>
      </c>
      <c r="E129" s="122">
        <f t="shared" si="13"/>
        <v>138.96300555823302</v>
      </c>
      <c r="F129" s="122">
        <f t="shared" si="13"/>
        <v>215.10760583243481</v>
      </c>
      <c r="G129" s="122">
        <f t="shared" si="13"/>
        <v>488.21096567438644</v>
      </c>
      <c r="H129" s="126">
        <f t="shared" si="10"/>
        <v>1</v>
      </c>
      <c r="I129" s="134">
        <f t="shared" si="11"/>
        <v>1</v>
      </c>
    </row>
    <row r="130" spans="1:9" x14ac:dyDescent="0.25">
      <c r="A130" s="121">
        <f t="shared" si="12"/>
        <v>0.31936503936014637</v>
      </c>
      <c r="B130" s="122">
        <f t="shared" si="13"/>
        <v>2.7485476536061211</v>
      </c>
      <c r="C130" s="122">
        <f t="shared" si="13"/>
        <v>6.117719691732316</v>
      </c>
      <c r="D130" s="122">
        <f t="shared" si="13"/>
        <v>9.3720206429504938</v>
      </c>
      <c r="E130" s="122">
        <f t="shared" si="13"/>
        <v>189.99006380690389</v>
      </c>
      <c r="F130" s="122">
        <f t="shared" si="13"/>
        <v>291.05465593007392</v>
      </c>
      <c r="G130" s="122">
        <f t="shared" si="13"/>
        <v>647.8296993023323</v>
      </c>
      <c r="H130" s="126">
        <f t="shared" si="10"/>
        <v>1</v>
      </c>
      <c r="I130" s="134">
        <f t="shared" si="11"/>
        <v>1</v>
      </c>
    </row>
    <row r="131" spans="1:9" ht="15.75" thickBot="1" x14ac:dyDescent="0.3">
      <c r="A131" s="135">
        <f t="shared" si="12"/>
        <v>0.50000000000000033</v>
      </c>
      <c r="B131" s="136">
        <f t="shared" si="13"/>
        <v>4.4883101508740504</v>
      </c>
      <c r="C131" s="136">
        <f t="shared" si="13"/>
        <v>9.8964027128814767</v>
      </c>
      <c r="D131" s="136">
        <f t="shared" si="13"/>
        <v>15.084804874584828</v>
      </c>
      <c r="E131" s="136">
        <f t="shared" si="13"/>
        <v>295.15358128414198</v>
      </c>
      <c r="F131" s="136">
        <f t="shared" si="13"/>
        <v>449.89420003198717</v>
      </c>
      <c r="G131" s="136">
        <f t="shared" si="13"/>
        <v>991.98451801267549</v>
      </c>
      <c r="H131" s="137">
        <f t="shared" si="10"/>
        <v>1</v>
      </c>
      <c r="I131" s="138">
        <f t="shared" si="11"/>
        <v>1</v>
      </c>
    </row>
  </sheetData>
  <sheetProtection algorithmName="SHA-512" hashValue="v8fYc12RLCH5JPDjch0iuHfWEhxytAHz/7/Df66VoJaOjvqRc1TbI/zsHabcMKKqLt3xlCwfSULAndCS0PWQJw==" saltValue="lRHxJsAB2A0R0Fq9Nc9uzg==" spinCount="100000" sheet="1" objects="1" scenarios="1" formatCells="0" formatColumns="0" formatRows="0"/>
  <mergeCells count="53">
    <mergeCell ref="B19:C19"/>
    <mergeCell ref="B20:C20"/>
    <mergeCell ref="B21:C21"/>
    <mergeCell ref="B4:C4"/>
    <mergeCell ref="B15:C15"/>
    <mergeCell ref="B16:C16"/>
    <mergeCell ref="B17:C17"/>
    <mergeCell ref="B18:C18"/>
    <mergeCell ref="B11:C11"/>
    <mergeCell ref="B12:C12"/>
    <mergeCell ref="B13:C13"/>
    <mergeCell ref="B14:C14"/>
    <mergeCell ref="B7:C7"/>
    <mergeCell ref="B8:C8"/>
    <mergeCell ref="B9:C9"/>
    <mergeCell ref="B10:C10"/>
    <mergeCell ref="A87:D87"/>
    <mergeCell ref="F62:J62"/>
    <mergeCell ref="F63:J63"/>
    <mergeCell ref="F58:J58"/>
    <mergeCell ref="F59:J59"/>
    <mergeCell ref="F60:J60"/>
    <mergeCell ref="F61:J61"/>
    <mergeCell ref="B58:D58"/>
    <mergeCell ref="A64:D64"/>
    <mergeCell ref="B57:D57"/>
    <mergeCell ref="F54:J54"/>
    <mergeCell ref="F55:J55"/>
    <mergeCell ref="A56:B56"/>
    <mergeCell ref="F56:J56"/>
    <mergeCell ref="F57:J57"/>
    <mergeCell ref="A55:B55"/>
    <mergeCell ref="F49:J49"/>
    <mergeCell ref="F53:J53"/>
    <mergeCell ref="G16:I20"/>
    <mergeCell ref="F51:J51"/>
    <mergeCell ref="F52:J52"/>
    <mergeCell ref="A51:D51"/>
    <mergeCell ref="G7:I9"/>
    <mergeCell ref="B1:E1"/>
    <mergeCell ref="G3:I3"/>
    <mergeCell ref="G4:I6"/>
    <mergeCell ref="B5:C5"/>
    <mergeCell ref="B6:C6"/>
    <mergeCell ref="A3:D3"/>
    <mergeCell ref="A23:D23"/>
    <mergeCell ref="F23:I23"/>
    <mergeCell ref="A44:D44"/>
    <mergeCell ref="A48:B48"/>
    <mergeCell ref="A49:D49"/>
    <mergeCell ref="G10:I13"/>
    <mergeCell ref="F50:J50"/>
    <mergeCell ref="F48:J48"/>
  </mergeCells>
  <phoneticPr fontId="10" type="noConversion"/>
  <dataValidations count="5">
    <dataValidation type="list" allowBlank="1" showInputMessage="1" showErrorMessage="1" prompt="POD Type" sqref="B15">
      <formula1>PODtype</formula1>
    </dataValidation>
    <dataValidation type="list" allowBlank="1" showInputMessage="1" showErrorMessage="1" prompt="Data Type" sqref="B6">
      <formula1>DataType</formula1>
    </dataValidation>
    <dataValidation type="list" allowBlank="1" showInputMessage="1" showErrorMessage="1" prompt="Data Route" sqref="B7">
      <formula1>DataRoute</formula1>
    </dataValidation>
    <dataValidation type="list" allowBlank="1" showInputMessage="1" showErrorMessage="1" prompt="Data Duration" sqref="B8">
      <formula1>DataDuration</formula1>
    </dataValidation>
    <dataValidation type="list" allowBlank="1" showInputMessage="1" showErrorMessage="1" prompt="Data Species" sqref="B9">
      <formula1>DataSpecies</formula1>
    </dataValidation>
  </dataValidations>
  <pageMargins left="0.7" right="0.7" top="0.75" bottom="0.75" header="0.3" footer="0.3"/>
  <pageSetup scale="49" fitToHeight="2" orientation="landscape" r:id="rId1"/>
  <rowBreaks count="1" manualBreakCount="1">
    <brk id="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10"/>
  <sheetViews>
    <sheetView tabSelected="1" topLeftCell="A4" workbookViewId="0">
      <selection activeCell="H21" sqref="H21"/>
    </sheetView>
  </sheetViews>
  <sheetFormatPr defaultRowHeight="15" x14ac:dyDescent="0.25"/>
  <cols>
    <col min="1" max="1" width="31" style="176" bestFit="1" customWidth="1"/>
    <col min="2" max="2" width="23.42578125" style="176" customWidth="1"/>
    <col min="3" max="3" width="4.28515625" style="176" customWidth="1"/>
    <col min="4" max="4" width="15.5703125" style="176" customWidth="1"/>
    <col min="5" max="5" width="12.5703125" style="176" customWidth="1"/>
    <col min="6" max="6" width="11.140625" style="176" customWidth="1"/>
    <col min="7" max="7" width="14.140625" style="176" customWidth="1"/>
    <col min="8" max="8" width="32.85546875" style="176" customWidth="1"/>
    <col min="9" max="9" width="19.42578125" style="176" customWidth="1"/>
    <col min="10" max="10" width="31.85546875" style="176" customWidth="1"/>
    <col min="11" max="11" width="24.140625" style="176" customWidth="1"/>
    <col min="12" max="12" width="23" style="176" customWidth="1"/>
    <col min="13" max="13" width="23.140625" style="176" customWidth="1"/>
    <col min="14" max="14" width="18.5703125" style="176" customWidth="1"/>
    <col min="15" max="15" width="25" style="176" customWidth="1"/>
    <col min="16" max="16" width="20.42578125" style="176" customWidth="1"/>
    <col min="17" max="17" width="15.42578125" style="176" bestFit="1" customWidth="1"/>
    <col min="18" max="18" width="9.5703125" style="176" bestFit="1" customWidth="1"/>
    <col min="19" max="19" width="11.28515625" style="176" bestFit="1" customWidth="1"/>
    <col min="20" max="20" width="11.7109375" style="176" bestFit="1" customWidth="1"/>
    <col min="21" max="21" width="15.42578125" style="180" bestFit="1" customWidth="1"/>
    <col min="22" max="16384" width="9.140625" style="176"/>
  </cols>
  <sheetData>
    <row r="1" spans="1:21" ht="15.75" thickBot="1" x14ac:dyDescent="0.3">
      <c r="A1" s="171" t="str">
        <f>'Wksht.LCL,UCL'!A1</f>
        <v>TITLE:</v>
      </c>
      <c r="B1" s="172" t="str">
        <f>'Wksht.LCL,UCL'!B1&amp;"--"&amp; 'Wksht.LCL,UCL'!B5</f>
        <v>[User-defined title]--[e.g. Decreased fetal bw]</v>
      </c>
      <c r="C1" s="173"/>
      <c r="D1" s="173"/>
      <c r="E1" s="174"/>
      <c r="F1" s="174"/>
      <c r="G1" s="174"/>
      <c r="H1" s="175"/>
      <c r="U1" s="176"/>
    </row>
    <row r="2" spans="1:21" ht="15.75" thickBot="1" x14ac:dyDescent="0.3">
      <c r="A2" s="177" t="s">
        <v>198</v>
      </c>
      <c r="B2" s="178"/>
      <c r="C2" s="178"/>
      <c r="D2" s="178"/>
      <c r="E2" s="178"/>
      <c r="F2" s="178"/>
      <c r="G2" s="178"/>
      <c r="H2" s="179"/>
    </row>
    <row r="3" spans="1:21" x14ac:dyDescent="0.25">
      <c r="A3" s="181"/>
      <c r="B3" s="182"/>
      <c r="C3" s="183"/>
      <c r="D3" s="184" t="s">
        <v>199</v>
      </c>
      <c r="E3" s="183"/>
      <c r="F3" s="183"/>
      <c r="G3" s="182"/>
      <c r="H3" s="185"/>
    </row>
    <row r="4" spans="1:21" x14ac:dyDescent="0.25">
      <c r="A4" s="186"/>
      <c r="B4" s="187"/>
      <c r="C4" s="187"/>
      <c r="D4" s="188" t="s">
        <v>200</v>
      </c>
      <c r="E4" s="189" t="s">
        <v>201</v>
      </c>
      <c r="F4" s="190" t="str">
        <f>IF(E4='Wksht.LCL,UCL'!B18,"","WARNING: units of exposure  and human taget dose differ")</f>
        <v>WARNING: units of exposure  and human taget dose differ</v>
      </c>
      <c r="G4" s="187"/>
      <c r="H4" s="191"/>
    </row>
    <row r="5" spans="1:21" x14ac:dyDescent="0.25">
      <c r="A5" s="192"/>
      <c r="B5" s="174"/>
      <c r="C5" s="193"/>
      <c r="D5" s="374" t="s">
        <v>202</v>
      </c>
      <c r="E5" s="375"/>
      <c r="F5" s="376" t="s">
        <v>203</v>
      </c>
      <c r="G5" s="377"/>
      <c r="H5" s="194" t="s">
        <v>204</v>
      </c>
    </row>
    <row r="6" spans="1:21" x14ac:dyDescent="0.25">
      <c r="A6" s="195" t="s">
        <v>100</v>
      </c>
      <c r="B6" s="196" t="s">
        <v>205</v>
      </c>
      <c r="C6" s="197"/>
      <c r="D6" s="198" t="s">
        <v>71</v>
      </c>
      <c r="E6" s="199" t="s">
        <v>72</v>
      </c>
      <c r="F6" s="200" t="s">
        <v>206</v>
      </c>
      <c r="G6" s="201" t="s">
        <v>207</v>
      </c>
      <c r="H6" s="202" t="s">
        <v>208</v>
      </c>
      <c r="I6" s="196"/>
    </row>
    <row r="7" spans="1:21" x14ac:dyDescent="0.25">
      <c r="A7" s="203"/>
      <c r="B7" s="204"/>
      <c r="C7" s="205"/>
      <c r="D7" s="206"/>
      <c r="E7" s="207"/>
      <c r="F7" s="208"/>
      <c r="G7" s="209"/>
      <c r="H7" s="210"/>
    </row>
    <row r="8" spans="1:21" s="218" customFormat="1" x14ac:dyDescent="0.25">
      <c r="A8" s="211" t="s">
        <v>209</v>
      </c>
      <c r="B8" s="212" t="s">
        <v>210</v>
      </c>
      <c r="C8" s="213"/>
      <c r="D8" s="214">
        <v>1</v>
      </c>
      <c r="E8" s="215">
        <v>10</v>
      </c>
      <c r="F8" s="214">
        <v>0.1</v>
      </c>
      <c r="G8" s="215">
        <v>100</v>
      </c>
      <c r="H8" s="216">
        <v>10</v>
      </c>
      <c r="I8" s="217"/>
      <c r="U8" s="180"/>
    </row>
    <row r="9" spans="1:21" x14ac:dyDescent="0.25">
      <c r="A9" s="211" t="s">
        <v>211</v>
      </c>
      <c r="B9" s="212" t="s">
        <v>212</v>
      </c>
      <c r="C9" s="213"/>
      <c r="D9" s="214">
        <v>0.01</v>
      </c>
      <c r="E9" s="215">
        <v>0.1</v>
      </c>
      <c r="F9" s="214">
        <v>1E-4</v>
      </c>
      <c r="G9" s="215">
        <v>1</v>
      </c>
      <c r="H9" s="219">
        <v>0.1</v>
      </c>
      <c r="I9" s="217"/>
      <c r="J9" s="220"/>
      <c r="K9" s="221"/>
      <c r="L9" s="221"/>
    </row>
    <row r="10" spans="1:21" x14ac:dyDescent="0.25">
      <c r="A10" s="211" t="s">
        <v>213</v>
      </c>
      <c r="B10" s="212"/>
      <c r="C10" s="213"/>
      <c r="D10" s="214"/>
      <c r="E10" s="215"/>
      <c r="F10" s="214"/>
      <c r="G10" s="215"/>
      <c r="H10" s="219"/>
      <c r="I10" s="217"/>
      <c r="J10" s="221"/>
      <c r="K10" s="221"/>
      <c r="L10" s="221"/>
    </row>
    <row r="11" spans="1:21" ht="15.75" thickBot="1" x14ac:dyDescent="0.3">
      <c r="A11" s="222" t="s">
        <v>214</v>
      </c>
      <c r="B11" s="223"/>
      <c r="C11" s="224"/>
      <c r="D11" s="225"/>
      <c r="E11" s="226"/>
      <c r="F11" s="225"/>
      <c r="G11" s="226"/>
      <c r="H11" s="227"/>
      <c r="I11" s="217"/>
      <c r="J11" s="221"/>
      <c r="K11" s="221"/>
      <c r="L11" s="221"/>
    </row>
    <row r="12" spans="1:21" x14ac:dyDescent="0.25">
      <c r="A12" s="203" t="s">
        <v>215</v>
      </c>
      <c r="B12" s="228"/>
      <c r="C12" s="229"/>
      <c r="D12" s="229"/>
      <c r="E12" s="229"/>
    </row>
    <row r="13" spans="1:21" x14ac:dyDescent="0.25">
      <c r="A13" s="203"/>
      <c r="B13" s="228"/>
      <c r="C13" s="228"/>
      <c r="D13" s="228"/>
      <c r="E13" s="229"/>
      <c r="G13" s="230"/>
      <c r="H13" s="228"/>
    </row>
    <row r="14" spans="1:21" x14ac:dyDescent="0.25">
      <c r="A14" s="203"/>
      <c r="B14" s="228"/>
      <c r="C14" s="228"/>
      <c r="D14" s="228"/>
      <c r="E14" s="229"/>
      <c r="G14" s="230"/>
      <c r="H14" s="175"/>
      <c r="I14" s="231"/>
      <c r="J14" s="231"/>
      <c r="K14" s="231"/>
      <c r="L14" s="175"/>
      <c r="M14" s="231"/>
      <c r="N14" s="175"/>
      <c r="O14" s="175"/>
      <c r="P14" s="175"/>
      <c r="Q14" s="175"/>
    </row>
    <row r="15" spans="1:21" x14ac:dyDescent="0.25">
      <c r="A15" s="203"/>
      <c r="B15" s="228"/>
      <c r="C15" s="228"/>
      <c r="D15" s="228"/>
      <c r="E15" s="229"/>
      <c r="G15" s="230"/>
      <c r="H15" s="232" t="s">
        <v>50</v>
      </c>
      <c r="I15" s="175"/>
      <c r="J15" s="175"/>
      <c r="K15" s="231"/>
      <c r="L15" s="233"/>
      <c r="M15" s="231"/>
      <c r="N15" s="231"/>
      <c r="O15" s="233"/>
      <c r="P15" s="233"/>
      <c r="Q15" s="234"/>
    </row>
    <row r="16" spans="1:21" s="238" customFormat="1" x14ac:dyDescent="0.25">
      <c r="A16" s="235"/>
      <c r="B16" s="236"/>
      <c r="C16" s="236"/>
      <c r="D16" s="236"/>
      <c r="E16" s="237"/>
      <c r="G16" s="239"/>
      <c r="H16" s="240" t="s">
        <v>216</v>
      </c>
      <c r="I16" s="241"/>
      <c r="J16" s="242"/>
      <c r="K16" s="242"/>
      <c r="L16" s="242"/>
      <c r="M16" s="242"/>
      <c r="N16" s="242"/>
      <c r="O16" s="242"/>
      <c r="P16" s="242"/>
      <c r="Q16" s="234"/>
      <c r="U16" s="243"/>
    </row>
    <row r="17" spans="1:17" s="176" customFormat="1" x14ac:dyDescent="0.25">
      <c r="A17" s="203"/>
      <c r="B17" s="228"/>
      <c r="C17" s="228"/>
      <c r="D17" s="228"/>
      <c r="E17" s="229"/>
      <c r="G17" s="230"/>
      <c r="H17" s="240" t="s">
        <v>217</v>
      </c>
      <c r="I17" s="241"/>
      <c r="J17" s="242"/>
      <c r="K17" s="242"/>
      <c r="L17" s="242"/>
      <c r="M17" s="242"/>
      <c r="N17" s="242"/>
      <c r="O17" s="242"/>
      <c r="P17" s="242"/>
      <c r="Q17" s="175"/>
    </row>
    <row r="18" spans="1:17" s="176" customFormat="1" x14ac:dyDescent="0.25">
      <c r="A18" s="203"/>
      <c r="B18" s="228"/>
      <c r="C18" s="228"/>
      <c r="D18" s="228"/>
      <c r="E18" s="229"/>
      <c r="G18" s="230"/>
      <c r="H18" s="240" t="s">
        <v>218</v>
      </c>
      <c r="I18" s="241"/>
      <c r="J18" s="242"/>
      <c r="K18" s="242"/>
      <c r="L18" s="242"/>
      <c r="M18" s="242"/>
      <c r="N18" s="242"/>
      <c r="O18" s="242"/>
      <c r="P18" s="242"/>
      <c r="Q18" s="175"/>
    </row>
    <row r="19" spans="1:17" s="176" customFormat="1" x14ac:dyDescent="0.25">
      <c r="A19" s="203"/>
      <c r="B19" s="228"/>
      <c r="C19" s="228"/>
      <c r="D19" s="228"/>
      <c r="E19" s="229"/>
      <c r="G19" s="230"/>
      <c r="H19" s="244"/>
      <c r="I19" s="241"/>
      <c r="J19" s="242"/>
      <c r="K19" s="242"/>
      <c r="L19" s="242"/>
      <c r="M19" s="242"/>
      <c r="N19" s="242"/>
      <c r="O19" s="242"/>
      <c r="P19" s="242"/>
      <c r="Q19" s="175"/>
    </row>
    <row r="20" spans="1:17" s="176" customFormat="1" x14ac:dyDescent="0.25">
      <c r="A20" s="203"/>
      <c r="B20" s="228"/>
      <c r="C20" s="228"/>
      <c r="D20" s="228"/>
      <c r="E20" s="229"/>
      <c r="G20" s="230"/>
      <c r="H20" s="228"/>
      <c r="I20" s="175"/>
      <c r="J20" s="175"/>
      <c r="K20" s="175"/>
      <c r="L20" s="175"/>
      <c r="M20" s="175"/>
      <c r="N20" s="175"/>
      <c r="O20" s="175"/>
      <c r="P20" s="175"/>
      <c r="Q20" s="175"/>
    </row>
    <row r="21" spans="1:17" s="176" customFormat="1" x14ac:dyDescent="0.25">
      <c r="A21" s="203"/>
      <c r="B21" s="228"/>
      <c r="C21" s="228"/>
      <c r="D21" s="228"/>
      <c r="E21" s="229"/>
      <c r="G21" s="230"/>
      <c r="H21" s="228"/>
      <c r="I21" s="175"/>
      <c r="J21" s="175"/>
      <c r="K21" s="175"/>
      <c r="L21" s="175"/>
      <c r="M21" s="175"/>
      <c r="N21" s="175"/>
      <c r="O21" s="175"/>
      <c r="P21" s="175"/>
      <c r="Q21" s="175"/>
    </row>
    <row r="22" spans="1:17" s="176" customFormat="1" x14ac:dyDescent="0.25">
      <c r="A22" s="203"/>
      <c r="B22" s="228"/>
      <c r="C22" s="228"/>
      <c r="D22" s="228"/>
      <c r="E22" s="229"/>
      <c r="G22" s="230"/>
      <c r="H22" s="228"/>
      <c r="I22" s="175"/>
      <c r="J22" s="175"/>
      <c r="K22" s="175"/>
      <c r="L22" s="175"/>
      <c r="M22" s="175"/>
      <c r="N22" s="175"/>
      <c r="O22" s="175"/>
      <c r="P22" s="175"/>
      <c r="Q22" s="175"/>
    </row>
    <row r="23" spans="1:17" s="176" customFormat="1" x14ac:dyDescent="0.25">
      <c r="A23" s="203"/>
      <c r="B23" s="228"/>
      <c r="C23" s="228"/>
      <c r="D23" s="228"/>
      <c r="E23" s="229"/>
      <c r="G23" s="230"/>
      <c r="H23" s="228"/>
      <c r="I23" s="175"/>
      <c r="J23" s="175"/>
      <c r="K23" s="175"/>
      <c r="L23" s="175"/>
      <c r="M23" s="175"/>
      <c r="N23" s="175"/>
      <c r="O23" s="175"/>
      <c r="P23" s="175"/>
      <c r="Q23" s="175"/>
    </row>
    <row r="24" spans="1:17" s="176" customFormat="1" x14ac:dyDescent="0.25">
      <c r="A24" s="203"/>
      <c r="B24" s="228"/>
      <c r="C24" s="228"/>
      <c r="D24" s="228"/>
      <c r="E24" s="229"/>
      <c r="G24" s="230"/>
      <c r="H24" s="228"/>
      <c r="I24" s="175"/>
      <c r="J24" s="175"/>
      <c r="K24" s="175"/>
      <c r="L24" s="175"/>
      <c r="M24" s="175"/>
      <c r="N24" s="175"/>
      <c r="O24" s="175"/>
      <c r="P24" s="175"/>
      <c r="Q24" s="175"/>
    </row>
    <row r="25" spans="1:17" s="176" customFormat="1" x14ac:dyDescent="0.25">
      <c r="A25" s="203"/>
      <c r="B25" s="228"/>
      <c r="C25" s="228"/>
      <c r="D25" s="228"/>
      <c r="E25" s="229"/>
      <c r="G25" s="230"/>
      <c r="H25" s="228"/>
      <c r="I25" s="175"/>
      <c r="J25" s="175"/>
      <c r="K25" s="175"/>
      <c r="L25" s="175"/>
      <c r="M25" s="175"/>
      <c r="N25" s="175"/>
      <c r="O25" s="175"/>
      <c r="P25" s="175"/>
      <c r="Q25" s="175"/>
    </row>
    <row r="26" spans="1:17" s="176" customFormat="1" x14ac:dyDescent="0.25">
      <c r="A26" s="203"/>
      <c r="B26" s="228"/>
      <c r="C26" s="228"/>
      <c r="D26" s="228"/>
      <c r="E26" s="229"/>
      <c r="G26" s="230"/>
      <c r="H26" s="228"/>
      <c r="M26" s="245"/>
    </row>
    <row r="27" spans="1:17" s="176" customFormat="1" x14ac:dyDescent="0.25">
      <c r="A27" s="203"/>
      <c r="B27" s="228"/>
      <c r="C27" s="228"/>
      <c r="D27" s="228"/>
      <c r="E27" s="229"/>
      <c r="G27" s="230"/>
      <c r="H27" s="228"/>
    </row>
    <row r="28" spans="1:17" s="176" customFormat="1" x14ac:dyDescent="0.25">
      <c r="A28" s="203"/>
      <c r="B28" s="228"/>
      <c r="C28" s="228"/>
      <c r="D28" s="228"/>
      <c r="E28" s="229"/>
      <c r="G28" s="230"/>
      <c r="H28" s="228"/>
      <c r="L28" s="245"/>
    </row>
    <row r="29" spans="1:17" s="176" customFormat="1" x14ac:dyDescent="0.25">
      <c r="A29" s="203"/>
      <c r="B29" s="228"/>
      <c r="C29" s="228"/>
      <c r="D29" s="228"/>
      <c r="E29" s="229"/>
      <c r="G29" s="230"/>
      <c r="H29" s="228"/>
    </row>
    <row r="30" spans="1:17" s="176" customFormat="1" x14ac:dyDescent="0.25">
      <c r="A30" s="203"/>
      <c r="B30" s="228"/>
      <c r="C30" s="228"/>
      <c r="D30" s="228"/>
      <c r="E30" s="229"/>
      <c r="G30" s="230"/>
      <c r="H30" s="228"/>
    </row>
    <row r="31" spans="1:17" s="176" customFormat="1" x14ac:dyDescent="0.25">
      <c r="A31" s="203"/>
      <c r="B31" s="228"/>
      <c r="C31" s="228"/>
      <c r="D31" s="228"/>
      <c r="E31" s="229"/>
      <c r="G31" s="230"/>
      <c r="H31" s="228"/>
    </row>
    <row r="32" spans="1:17" s="176" customFormat="1" x14ac:dyDescent="0.25">
      <c r="A32" s="203"/>
      <c r="B32" s="228"/>
      <c r="C32" s="228"/>
      <c r="D32" s="228"/>
      <c r="E32" s="229"/>
      <c r="G32" s="230"/>
      <c r="H32" s="228"/>
    </row>
    <row r="33" spans="1:16" s="176" customFormat="1" x14ac:dyDescent="0.25">
      <c r="A33" s="203"/>
      <c r="B33" s="228"/>
      <c r="C33" s="228"/>
      <c r="D33" s="228"/>
      <c r="E33" s="229"/>
      <c r="G33" s="230"/>
      <c r="H33" s="228"/>
    </row>
    <row r="34" spans="1:16" s="176" customFormat="1" x14ac:dyDescent="0.25">
      <c r="A34" s="203"/>
      <c r="B34" s="228"/>
      <c r="C34" s="228"/>
      <c r="D34" s="228"/>
      <c r="E34" s="229"/>
      <c r="G34" s="230"/>
      <c r="H34" s="228"/>
    </row>
    <row r="35" spans="1:16" s="176" customFormat="1" x14ac:dyDescent="0.25">
      <c r="A35" s="203"/>
      <c r="B35" s="228"/>
      <c r="C35" s="228"/>
      <c r="D35" s="228"/>
      <c r="E35" s="229"/>
      <c r="G35" s="230"/>
      <c r="H35" s="228"/>
    </row>
    <row r="36" spans="1:16" s="176" customFormat="1" x14ac:dyDescent="0.25">
      <c r="A36" s="203"/>
      <c r="B36" s="228"/>
      <c r="C36" s="228"/>
      <c r="D36" s="228"/>
      <c r="E36" s="229"/>
      <c r="G36" s="230"/>
      <c r="H36" s="228"/>
    </row>
    <row r="37" spans="1:16" s="176" customFormat="1" x14ac:dyDescent="0.25">
      <c r="A37" s="203"/>
      <c r="B37" s="228"/>
      <c r="C37" s="228"/>
      <c r="D37" s="228"/>
      <c r="E37" s="229"/>
      <c r="G37" s="230"/>
      <c r="H37" s="228"/>
      <c r="P37" s="246"/>
    </row>
    <row r="38" spans="1:16" s="176" customFormat="1" x14ac:dyDescent="0.25">
      <c r="A38" s="203"/>
      <c r="B38" s="228"/>
      <c r="C38" s="228"/>
      <c r="D38" s="228"/>
      <c r="E38" s="229"/>
      <c r="G38" s="230"/>
      <c r="H38" s="228"/>
      <c r="P38" s="246"/>
    </row>
    <row r="39" spans="1:16" s="176" customFormat="1" x14ac:dyDescent="0.25">
      <c r="A39" s="203"/>
      <c r="B39" s="228"/>
      <c r="C39" s="228"/>
      <c r="D39" s="228"/>
      <c r="E39" s="229"/>
      <c r="G39" s="230"/>
      <c r="H39" s="228"/>
      <c r="P39" s="246"/>
    </row>
    <row r="40" spans="1:16" s="176" customFormat="1" x14ac:dyDescent="0.25">
      <c r="A40" s="203"/>
      <c r="B40" s="228"/>
      <c r="C40" s="228"/>
      <c r="D40" s="228"/>
      <c r="E40" s="229"/>
      <c r="G40" s="230"/>
      <c r="H40" s="228"/>
      <c r="P40" s="246"/>
    </row>
    <row r="41" spans="1:16" s="176" customFormat="1" x14ac:dyDescent="0.25">
      <c r="A41" s="203"/>
      <c r="B41" s="228"/>
      <c r="C41" s="228"/>
      <c r="D41" s="228"/>
      <c r="E41" s="229"/>
      <c r="G41" s="230"/>
      <c r="H41" s="228"/>
      <c r="P41" s="246"/>
    </row>
    <row r="42" spans="1:16" s="176" customFormat="1" x14ac:dyDescent="0.25">
      <c r="A42" s="203"/>
      <c r="B42" s="228"/>
      <c r="C42" s="228"/>
      <c r="D42" s="228"/>
      <c r="E42" s="229"/>
      <c r="G42" s="230"/>
      <c r="H42" s="228"/>
      <c r="P42" s="246"/>
    </row>
    <row r="43" spans="1:16" s="176" customFormat="1" x14ac:dyDescent="0.25">
      <c r="A43" s="203"/>
      <c r="B43" s="228"/>
      <c r="C43" s="228"/>
      <c r="D43" s="228"/>
      <c r="E43" s="229"/>
      <c r="G43" s="230"/>
      <c r="H43" s="228"/>
      <c r="P43" s="246"/>
    </row>
    <row r="44" spans="1:16" s="176" customFormat="1" x14ac:dyDescent="0.25">
      <c r="A44" s="203"/>
      <c r="B44" s="228"/>
      <c r="C44" s="228"/>
      <c r="D44" s="228"/>
      <c r="E44" s="229"/>
      <c r="G44" s="230"/>
      <c r="H44" s="228"/>
      <c r="P44" s="246"/>
    </row>
    <row r="45" spans="1:16" s="176" customFormat="1" x14ac:dyDescent="0.25">
      <c r="A45" s="203"/>
      <c r="B45" s="228"/>
      <c r="C45" s="228"/>
      <c r="D45" s="228"/>
      <c r="E45" s="229"/>
      <c r="G45" s="230"/>
      <c r="H45" s="228"/>
      <c r="P45" s="246"/>
    </row>
    <row r="46" spans="1:16" s="176" customFormat="1" x14ac:dyDescent="0.25">
      <c r="A46" s="203"/>
      <c r="B46" s="228"/>
      <c r="C46" s="228"/>
      <c r="D46" s="228"/>
      <c r="E46" s="229"/>
      <c r="G46" s="230"/>
      <c r="H46" s="228"/>
      <c r="P46" s="246"/>
    </row>
    <row r="47" spans="1:16" s="176" customFormat="1" ht="15.75" thickBot="1" x14ac:dyDescent="0.3">
      <c r="A47" s="203"/>
      <c r="B47" s="228"/>
      <c r="C47" s="228"/>
      <c r="D47" s="228"/>
      <c r="E47" s="229"/>
      <c r="P47" s="246"/>
    </row>
    <row r="48" spans="1:16" s="176" customFormat="1" ht="15.75" thickBot="1" x14ac:dyDescent="0.3">
      <c r="A48" s="247" t="s">
        <v>219</v>
      </c>
      <c r="B48" s="248"/>
      <c r="C48" s="248"/>
      <c r="D48" s="248"/>
      <c r="E48" s="248"/>
      <c r="F48" s="249"/>
      <c r="G48" s="249"/>
      <c r="H48" s="250"/>
      <c r="P48" s="246"/>
    </row>
    <row r="49" spans="1:26" x14ac:dyDescent="0.25">
      <c r="A49" s="251"/>
      <c r="B49" s="252"/>
      <c r="C49" s="252"/>
      <c r="D49" s="253"/>
      <c r="E49" s="253"/>
      <c r="F49" s="254" t="s">
        <v>220</v>
      </c>
      <c r="G49" s="254"/>
      <c r="H49" s="255" t="s">
        <v>221</v>
      </c>
      <c r="P49" s="246"/>
    </row>
    <row r="50" spans="1:26" x14ac:dyDescent="0.25">
      <c r="A50" s="256"/>
      <c r="B50" s="173"/>
      <c r="C50" s="173"/>
      <c r="D50" s="257"/>
      <c r="E50" s="257"/>
      <c r="F50" s="258" t="str">
        <f>"&lt;-- log10 exposure ("&amp;E4&amp;")  --&gt;"</f>
        <v>&lt;-- log10 exposure (ppm)  --&gt;</v>
      </c>
      <c r="G50" s="258"/>
      <c r="H50" s="259" t="str">
        <f>IF(F4="",'Wksht.LCL,UCL'!B1&amp;"--"&amp; 'Wksht.LCL,UCL'!B5,F4)</f>
        <v>WARNING: units of exposure  and human taget dose differ</v>
      </c>
    </row>
    <row r="51" spans="1:26" ht="15.75" thickBot="1" x14ac:dyDescent="0.3">
      <c r="A51" s="260"/>
      <c r="B51" s="261"/>
      <c r="C51" s="261"/>
      <c r="D51" s="262"/>
      <c r="E51" s="262"/>
      <c r="F51" s="261" t="str">
        <f>"&lt;--  log10 human dose ("&amp;'Wksht.LCL,UCL'!B18&amp;")  --&gt;"</f>
        <v>&lt;--  log10 human dose (mg/kg body weight per day)  --&gt;</v>
      </c>
      <c r="G51" s="261"/>
      <c r="H51" s="263"/>
    </row>
    <row r="52" spans="1:26" ht="15.75" thickBot="1" x14ac:dyDescent="0.3"/>
    <row r="53" spans="1:26" ht="15.75" thickBot="1" x14ac:dyDescent="0.3">
      <c r="A53" s="264" t="s">
        <v>124</v>
      </c>
      <c r="B53" s="265"/>
      <c r="C53" s="266"/>
    </row>
    <row r="54" spans="1:26" x14ac:dyDescent="0.25">
      <c r="A54" s="267" t="s">
        <v>222</v>
      </c>
      <c r="B54" s="268" t="s">
        <v>223</v>
      </c>
      <c r="C54" s="268" t="s">
        <v>224</v>
      </c>
      <c r="D54" s="268" t="s">
        <v>225</v>
      </c>
      <c r="E54" s="268" t="s">
        <v>226</v>
      </c>
      <c r="F54" s="268" t="s">
        <v>227</v>
      </c>
      <c r="G54" s="268" t="s">
        <v>228</v>
      </c>
      <c r="H54" s="268" t="s">
        <v>229</v>
      </c>
      <c r="I54" s="268"/>
      <c r="J54" s="268" t="s">
        <v>230</v>
      </c>
      <c r="K54" s="268" t="s">
        <v>0</v>
      </c>
      <c r="L54" s="268" t="s">
        <v>231</v>
      </c>
      <c r="M54" s="268" t="s">
        <v>232</v>
      </c>
      <c r="N54" s="268" t="s">
        <v>71</v>
      </c>
      <c r="O54" s="268" t="s">
        <v>72</v>
      </c>
      <c r="P54" s="268" t="s">
        <v>233</v>
      </c>
      <c r="Q54" s="268" t="s">
        <v>234</v>
      </c>
      <c r="R54" s="269" t="s">
        <v>235</v>
      </c>
      <c r="S54" s="267" t="s">
        <v>236</v>
      </c>
      <c r="T54" s="270" t="s">
        <v>237</v>
      </c>
      <c r="U54" s="175"/>
      <c r="V54" s="175"/>
    </row>
    <row r="55" spans="1:26" x14ac:dyDescent="0.25">
      <c r="A55" s="271">
        <f>IF(AND('Wksht.LCL,UCL'!B13&gt;0,COUNT(C8:G8)&gt;0),'Wksht.LCL,UCL'!B13,"")</f>
        <v>0.01</v>
      </c>
      <c r="B55" s="272">
        <f t="shared" ref="B55" si="0">IF(A55="","",10^(NORMSINV(1-A55)*(LogGSDHMedian/LogGSDHGSDU^NORMSINV(0.95)+LogGSDHMedian*LogGSDHGSDU^NORMSINV(0.95))/2))</f>
        <v>9.6860208996610702</v>
      </c>
      <c r="C55" s="273">
        <f t="shared" ref="C55" si="1">IF(A55="","",10^(NORMSINV(1-A55)*LogGSDHMedian*LogGSDHGSDU^NORMSINV(0.95))/B55)</f>
        <v>4.3241027052728374</v>
      </c>
      <c r="D55" s="273">
        <f>LOG10(E55)</f>
        <v>0.83814847520822522</v>
      </c>
      <c r="E55" s="173">
        <f>IF(A55="",1,'Wksht.LCL,UCL'!$H$25/PRODUCT('Wksht.LCL,UCL'!$H$27,'Wksht.LCL,UCL'!$H$29,'Wksht.LCL,UCL'!$H$31,'Wksht.LCL,UCL'!$H$33,B55,'Wksht.LCL,UCL'!$H$37,'Wksht.LCL,UCL'!$H$39,'Wksht.LCL,UCL'!$H$41))</f>
        <v>6.8888777083778683</v>
      </c>
      <c r="F55" s="274">
        <f>IF(A55="","",10^(SQRT(SUM('Wksht.LCL,UCL'!$I$26,'Wksht.LCL,UCL'!$I$28,'Wksht.LCL,UCL'!$I$30,'Wksht.LCL,UCL'!$I$32,'Wksht.LCL,UCL'!$I$34,LOG(C55)^2,'Wksht.LCL,UCL'!$I$38,'Wksht.LCL,UCL'!$I$40,'Wksht.LCL,UCL'!$I$42))))</f>
        <v>11.082897390498934</v>
      </c>
      <c r="G55" s="257">
        <f>IF(A55="","",LOG10(E55/F55))</f>
        <v>-0.20650483718874568</v>
      </c>
      <c r="H55" s="257">
        <f>IF(A55="","",LOG10(E55*F55))</f>
        <v>1.8828017876051961</v>
      </c>
      <c r="I55" s="257"/>
      <c r="J55" s="275" t="str">
        <f>IF(A55="","",IF(COUNT(C8:G8)&gt;0,B8,""))</f>
        <v>some name1</v>
      </c>
      <c r="K55" s="257">
        <f>LOG10(IF(J55="",1,IF(COUNT(C8:G8)=1,SUM(C8:G8),IF(C8="",IF(D8="",SQRT(F8*G8),SQRT(D8*E8)),C8))))</f>
        <v>0.5</v>
      </c>
      <c r="L55" s="257">
        <f t="shared" ref="L55:M58" si="2">IF(D8="",0,LOG10(D8))</f>
        <v>0</v>
      </c>
      <c r="M55" s="257">
        <f t="shared" si="2"/>
        <v>1</v>
      </c>
      <c r="N55" s="276">
        <f>IF(J55="",0,IF(D8="",K55,LOG10(D8)))</f>
        <v>0</v>
      </c>
      <c r="O55" s="276">
        <f>IF(J55="",0,IF(E8="",K55,LOG10(E8)))</f>
        <v>1</v>
      </c>
      <c r="P55" s="276">
        <f>IF(J55="",0,IF(F8="",N55,LOG10(F8)))</f>
        <v>-1</v>
      </c>
      <c r="Q55" s="276">
        <f>IF(J55="",0,IF(G8="",O55,LOG10(G8)))</f>
        <v>2</v>
      </c>
      <c r="R55" s="277" t="str">
        <f>IF(A55="","",IF(J55&lt;1,A55*100&amp;"% --"&amp;J55*100&amp;"%",A55*100&amp;"% --"&amp;J55))</f>
        <v>1% --some name1</v>
      </c>
      <c r="S55" s="278">
        <f>IF(H8="",999,LOG10(H8))</f>
        <v>1</v>
      </c>
      <c r="T55" s="279">
        <f>IF(ISNUMBER(SUM('Wksht.LCL,UCL'!$B$20:$C$20)),LOG10(SUM('Wksht.LCL,UCL'!$B$20:$C$20)), 999)</f>
        <v>0</v>
      </c>
      <c r="U55" s="174"/>
      <c r="V55" s="175"/>
    </row>
    <row r="56" spans="1:26" x14ac:dyDescent="0.25">
      <c r="A56" s="271">
        <f>IF(AND('Wksht.LCL,UCL'!B13&gt;0,COUNT(C9:G9)&gt;0),'Wksht.LCL,UCL'!B13,"")</f>
        <v>0.01</v>
      </c>
      <c r="B56" s="272">
        <f t="shared" ref="B56" si="3">IF(A56="","",10^(NORMSINV(1-A56)*(LogGSDHMedian/LogGSDHGSDU^NORMSINV(0.95)+LogGSDHMedian*LogGSDHGSDU^NORMSINV(0.95))/2))</f>
        <v>9.6860208996610702</v>
      </c>
      <c r="C56" s="273">
        <f t="shared" ref="C56" si="4">IF(A56="","",10^(NORMSINV(1-A56)*LogGSDHMedian*LogGSDHGSDU^NORMSINV(0.95))/B56)</f>
        <v>4.3241027052728374</v>
      </c>
      <c r="D56" s="273">
        <f>LOG10(E56)</f>
        <v>0.83814847520822522</v>
      </c>
      <c r="E56" s="173">
        <f>IF(A56="",1,'Wksht.LCL,UCL'!$H$25/PRODUCT('Wksht.LCL,UCL'!$H$27,'Wksht.LCL,UCL'!$H$29,'Wksht.LCL,UCL'!$H$31,'Wksht.LCL,UCL'!$H$33,B56,'Wksht.LCL,UCL'!$H$37,'Wksht.LCL,UCL'!$H$39,'Wksht.LCL,UCL'!$H$41))</f>
        <v>6.8888777083778683</v>
      </c>
      <c r="F56" s="274">
        <f>IF(A56="","",10^(SQRT(SUM('Wksht.LCL,UCL'!$I$26,'Wksht.LCL,UCL'!$I$28,'Wksht.LCL,UCL'!$I$30,'Wksht.LCL,UCL'!$I$32,'Wksht.LCL,UCL'!$I$34,LOG(C56)^2,'Wksht.LCL,UCL'!$I$38,'Wksht.LCL,UCL'!$I$40,'Wksht.LCL,UCL'!$I$42))))</f>
        <v>11.082897390498934</v>
      </c>
      <c r="G56" s="257">
        <f>IF(A56="","",LOG10(E56/F56))</f>
        <v>-0.20650483718874568</v>
      </c>
      <c r="H56" s="257">
        <f>IF(A56="","",LOG10(E56*F56))</f>
        <v>1.8828017876051961</v>
      </c>
      <c r="I56" s="257"/>
      <c r="J56" s="275" t="str">
        <f>IF(A56="","",IF(COUNT(C9:G9)&gt;0,B9,""))</f>
        <v>some name2</v>
      </c>
      <c r="K56" s="257">
        <f>LOG10(IF(J56="",1,IF(COUNT(C9:G9)=1,SUM(C9:G9),IF(C9="",IF(D9="",SQRT(F9*G9),SQRT(D9*E9)),C9))))</f>
        <v>-1.5</v>
      </c>
      <c r="L56" s="257">
        <f t="shared" si="2"/>
        <v>-2</v>
      </c>
      <c r="M56" s="257">
        <f t="shared" si="2"/>
        <v>-1</v>
      </c>
      <c r="N56" s="276">
        <f>IF(J56="",0,IF(D9="",K56,LOG10(D9)))</f>
        <v>-2</v>
      </c>
      <c r="O56" s="276">
        <f>IF(J56="",0,IF(E9="",K56,LOG10(E9)))</f>
        <v>-1</v>
      </c>
      <c r="P56" s="276">
        <f>IF(J56="",0,IF(F9="",N56,LOG10(F9)))</f>
        <v>-4</v>
      </c>
      <c r="Q56" s="276">
        <f>IF(J56="",0,IF(G9="",O56,LOG10(G9)))</f>
        <v>0</v>
      </c>
      <c r="R56" s="277" t="str">
        <f>IF(A56="","",IF(J56&lt;1,A56*100&amp;"% --"&amp;J56*100&amp;"%",A56*100&amp;"% --"&amp;J56))</f>
        <v>1% --some name2</v>
      </c>
      <c r="S56" s="278">
        <f>IF(H9="",999,LOG10(H9))</f>
        <v>-1</v>
      </c>
      <c r="T56" s="279">
        <f>IF(ISNUMBER(SUM('Wksht.LCL,UCL'!$B$20:$C$20)),LOG10(SUM('Wksht.LCL,UCL'!$B$20:$C$20)), 999)</f>
        <v>0</v>
      </c>
      <c r="U56" s="174"/>
      <c r="V56" s="175"/>
    </row>
    <row r="57" spans="1:26" x14ac:dyDescent="0.25">
      <c r="A57" s="271" t="str">
        <f>IF(AND('Wksht.LCL,UCL'!B13&gt;0,COUNT(C10:G10)&gt;0),'Wksht.LCL,UCL'!B13,"")</f>
        <v/>
      </c>
      <c r="B57" s="272" t="str">
        <f t="shared" ref="B57" si="5">IF(A57="","",10^(NORMSINV(1-A57)*(LogGSDHMedian/LogGSDHGSDU^NORMSINV(0.95)+LogGSDHMedian*LogGSDHGSDU^NORMSINV(0.95))/2))</f>
        <v/>
      </c>
      <c r="C57" s="273" t="str">
        <f t="shared" ref="C57" si="6">IF(A57="","",10^(NORMSINV(1-A57)*LogGSDHMedian*LogGSDHGSDU^NORMSINV(0.95))/B57)</f>
        <v/>
      </c>
      <c r="D57" s="273">
        <f t="shared" ref="D57:D58" si="7">LOG10(E57)</f>
        <v>0</v>
      </c>
      <c r="E57" s="173">
        <f>IF(A57="",1,'Wksht.LCL,UCL'!$H$25/PRODUCT('Wksht.LCL,UCL'!$H$27,'Wksht.LCL,UCL'!$H$29,'Wksht.LCL,UCL'!$H$31,'Wksht.LCL,UCL'!$H$33,B57,'Wksht.LCL,UCL'!$H$37,'Wksht.LCL,UCL'!$H$39,'Wksht.LCL,UCL'!$H$41))</f>
        <v>1</v>
      </c>
      <c r="F57" s="274" t="str">
        <f>IF(A57="","",10^(SQRT(SUM('Wksht.LCL,UCL'!$I$26,'Wksht.LCL,UCL'!$I$28,'Wksht.LCL,UCL'!$I$30,'Wksht.LCL,UCL'!$I$32,'Wksht.LCL,UCL'!$I$34,LOG(C57)^2,'Wksht.LCL,UCL'!$I$38,'Wksht.LCL,UCL'!$I$40,'Wksht.LCL,UCL'!$I$42))))</f>
        <v/>
      </c>
      <c r="G57" s="257" t="str">
        <f>IF(A57="","",LOG10(E57/F57))</f>
        <v/>
      </c>
      <c r="H57" s="257" t="str">
        <f>IF(A57="","",LOG10(E57*F57))</f>
        <v/>
      </c>
      <c r="I57" s="257"/>
      <c r="J57" s="275" t="str">
        <f>IF(A57="","",IF(COUNT(C10:G10)&gt;0,B10,""))</f>
        <v/>
      </c>
      <c r="K57" s="257">
        <f>LOG10(IF(J57="",1,IF(COUNT(C10:G10)=1,SUM(C10:G10),IF(C10="",IF(D10="",SQRT(F10*G10),SQRT(D10*E10)),C10))))</f>
        <v>0</v>
      </c>
      <c r="L57" s="257">
        <f t="shared" si="2"/>
        <v>0</v>
      </c>
      <c r="M57" s="257">
        <f t="shared" si="2"/>
        <v>0</v>
      </c>
      <c r="N57" s="276">
        <f>IF(J57="",0,IF(D10="",K57,LOG10(D10)))</f>
        <v>0</v>
      </c>
      <c r="O57" s="276">
        <f>IF(J57="",0,IF(E10="",K57,LOG10(E10)))</f>
        <v>0</v>
      </c>
      <c r="P57" s="276">
        <f>IF(J57="",0,IF(F10="",N57,LOG10(F10)))</f>
        <v>0</v>
      </c>
      <c r="Q57" s="276">
        <f>IF(J57="",0,IF(G10="",O57,LOG10(G10)))</f>
        <v>0</v>
      </c>
      <c r="R57" s="277" t="str">
        <f>IF(A57="","",IF(J57&lt;1,A57*100&amp;"% --"&amp;J57*100&amp;"%",A57*100&amp;"% --"&amp;J57))</f>
        <v/>
      </c>
      <c r="S57" s="278">
        <f>IF(H10="",999,LOG10(H10))</f>
        <v>999</v>
      </c>
      <c r="T57" s="279">
        <f>IF(ISNUMBER(SUM('Wksht.LCL,UCL'!$B$20:$C$20)),LOG10(SUM('Wksht.LCL,UCL'!$B$20:$C$20)), 999)</f>
        <v>0</v>
      </c>
      <c r="U57" s="174"/>
      <c r="V57" s="175"/>
    </row>
    <row r="58" spans="1:26" ht="15.75" thickBot="1" x14ac:dyDescent="0.3">
      <c r="A58" s="280" t="str">
        <f>IF(AND('Wksht.LCL,UCL'!B13&gt;0,COUNT(C11:G11)&gt;0),'Wksht.LCL,UCL'!B13,"")</f>
        <v/>
      </c>
      <c r="B58" s="281" t="str">
        <f t="shared" ref="B58" si="8">IF(A58="","",10^(NORMSINV(1-A58)*(LogGSDHMedian/LogGSDHGSDU^NORMSINV(0.95)+LogGSDHMedian*LogGSDHGSDU^NORMSINV(0.95))/2))</f>
        <v/>
      </c>
      <c r="C58" s="282" t="str">
        <f t="shared" ref="C58" si="9">IF(A58="","",10^(NORMSINV(1-A58)*LogGSDHMedian*LogGSDHGSDU^NORMSINV(0.95))/B58)</f>
        <v/>
      </c>
      <c r="D58" s="282">
        <f t="shared" si="7"/>
        <v>0</v>
      </c>
      <c r="E58" s="261">
        <f>IF(A58="",1,'Wksht.LCL,UCL'!$H$25/PRODUCT('Wksht.LCL,UCL'!$H$27,'Wksht.LCL,UCL'!$H$29,'Wksht.LCL,UCL'!$H$31,'Wksht.LCL,UCL'!$H$33,B58,'Wksht.LCL,UCL'!$H$37,'Wksht.LCL,UCL'!$H$39,'Wksht.LCL,UCL'!$H$41))</f>
        <v>1</v>
      </c>
      <c r="F58" s="283" t="str">
        <f>IF(A58="","",10^(SQRT(SUM('Wksht.LCL,UCL'!$I$26,'Wksht.LCL,UCL'!$I$28,'Wksht.LCL,UCL'!$I$30,'Wksht.LCL,UCL'!$I$32,'Wksht.LCL,UCL'!$I$34,LOG(C58)^2,'Wksht.LCL,UCL'!$I$38,'Wksht.LCL,UCL'!$I$40,'Wksht.LCL,UCL'!$I$42))))</f>
        <v/>
      </c>
      <c r="G58" s="262" t="str">
        <f>IF(A58="","",LOG10(E58/F58))</f>
        <v/>
      </c>
      <c r="H58" s="262" t="str">
        <f>IF(A58="","",LOG10(E58*F58))</f>
        <v/>
      </c>
      <c r="I58" s="262"/>
      <c r="J58" s="284" t="str">
        <f>IF(A58="","",IF(COUNT(C11:G11)&gt;0,B11,""))</f>
        <v/>
      </c>
      <c r="K58" s="262">
        <f>LOG10(IF(J58="",1,IF(COUNT(C11:G11)=1,SUM(C11:G11),IF(C11="",IF(D11="",SQRT(F11*G11),SQRT(D11*E11)),C11))))</f>
        <v>0</v>
      </c>
      <c r="L58" s="262">
        <f t="shared" si="2"/>
        <v>0</v>
      </c>
      <c r="M58" s="262">
        <f t="shared" si="2"/>
        <v>0</v>
      </c>
      <c r="N58" s="285">
        <f>IF(J58="",0,IF(D11="",K58,LOG10(D11)))</f>
        <v>0</v>
      </c>
      <c r="O58" s="285">
        <f>IF(J58="",0,IF(E11="",K58,LOG10(E11)))</f>
        <v>0</v>
      </c>
      <c r="P58" s="285">
        <f>IF(J58="",0,IF(F11="",N58,LOG10(F11)))</f>
        <v>0</v>
      </c>
      <c r="Q58" s="285">
        <f>IF(J58="",0,IF(G11="",O58,LOG10(G11)))</f>
        <v>0</v>
      </c>
      <c r="R58" s="286" t="str">
        <f>IF(A58="","",IF(J58&lt;1,A58*100&amp;"% --"&amp;J58*100&amp;"%",A58*100&amp;"% --"&amp;J58))</f>
        <v/>
      </c>
      <c r="S58" s="287">
        <f>IF(H11="",999,LOG10(H11))</f>
        <v>999</v>
      </c>
      <c r="T58" s="288">
        <f>IF(ISNUMBER(SUM('Wksht.LCL,UCL'!$B$20:$C$20)),LOG10(SUM('Wksht.LCL,UCL'!$B$20:$C$20)), 999)</f>
        <v>0</v>
      </c>
      <c r="U58" s="174"/>
      <c r="V58" s="175"/>
    </row>
    <row r="59" spans="1:26" ht="15.75" thickBot="1" x14ac:dyDescent="0.3">
      <c r="S59" s="174"/>
      <c r="T59" s="228"/>
      <c r="U59" s="174"/>
      <c r="V59" s="175"/>
    </row>
    <row r="60" spans="1:26" ht="15.75" thickBot="1" x14ac:dyDescent="0.3">
      <c r="A60" s="264" t="s">
        <v>124</v>
      </c>
      <c r="B60" s="270"/>
      <c r="S60" s="174"/>
      <c r="T60" s="289"/>
      <c r="U60" s="174"/>
      <c r="V60" s="175"/>
    </row>
    <row r="61" spans="1:26" x14ac:dyDescent="0.25">
      <c r="A61" s="267"/>
      <c r="B61" s="267"/>
      <c r="C61" s="290" t="s">
        <v>238</v>
      </c>
      <c r="D61" s="291" t="str">
        <f>R55</f>
        <v>1% --some name1</v>
      </c>
      <c r="E61" s="268"/>
      <c r="F61" s="268"/>
      <c r="G61" s="270"/>
      <c r="H61" s="268"/>
      <c r="I61" s="290" t="s">
        <v>239</v>
      </c>
      <c r="J61" s="291" t="str">
        <f>R56</f>
        <v>1% --some name2</v>
      </c>
      <c r="K61" s="268"/>
      <c r="L61" s="268"/>
      <c r="M61" s="268"/>
      <c r="N61" s="268"/>
      <c r="O61" s="267"/>
      <c r="P61" s="290" t="s">
        <v>238</v>
      </c>
      <c r="Q61" s="291" t="str">
        <f>R57</f>
        <v/>
      </c>
      <c r="R61" s="268"/>
      <c r="S61" s="268"/>
      <c r="T61" s="257"/>
      <c r="U61" s="292"/>
      <c r="V61" s="290" t="s">
        <v>238</v>
      </c>
      <c r="W61" s="291" t="str">
        <f>R58</f>
        <v/>
      </c>
      <c r="X61" s="268"/>
      <c r="Y61" s="268"/>
      <c r="Z61" s="270"/>
    </row>
    <row r="62" spans="1:26" ht="15.75" thickBot="1" x14ac:dyDescent="0.3">
      <c r="A62" s="293"/>
      <c r="B62" s="293" t="s">
        <v>240</v>
      </c>
      <c r="C62" s="257" t="s">
        <v>241</v>
      </c>
      <c r="D62" s="257" t="s">
        <v>242</v>
      </c>
      <c r="E62" s="257" t="s">
        <v>243</v>
      </c>
      <c r="F62" s="257" t="s">
        <v>244</v>
      </c>
      <c r="G62" s="259" t="s">
        <v>245</v>
      </c>
      <c r="H62" s="257" t="s">
        <v>240</v>
      </c>
      <c r="I62" s="257" t="s">
        <v>241</v>
      </c>
      <c r="J62" s="257" t="s">
        <v>242</v>
      </c>
      <c r="K62" s="257" t="s">
        <v>243</v>
      </c>
      <c r="L62" s="257" t="s">
        <v>244</v>
      </c>
      <c r="M62" s="257" t="s">
        <v>245</v>
      </c>
      <c r="N62" s="257"/>
      <c r="O62" s="293" t="s">
        <v>240</v>
      </c>
      <c r="P62" s="257" t="s">
        <v>241</v>
      </c>
      <c r="Q62" s="257" t="s">
        <v>242</v>
      </c>
      <c r="R62" s="257" t="s">
        <v>243</v>
      </c>
      <c r="S62" s="257" t="s">
        <v>244</v>
      </c>
      <c r="T62" s="262" t="s">
        <v>245</v>
      </c>
      <c r="U62" s="293" t="s">
        <v>240</v>
      </c>
      <c r="V62" s="257" t="s">
        <v>241</v>
      </c>
      <c r="W62" s="257" t="s">
        <v>242</v>
      </c>
      <c r="X62" s="257" t="s">
        <v>243</v>
      </c>
      <c r="Y62" s="257" t="s">
        <v>244</v>
      </c>
      <c r="Z62" s="262" t="s">
        <v>245</v>
      </c>
    </row>
    <row r="63" spans="1:26" x14ac:dyDescent="0.25">
      <c r="A63" s="267" t="s">
        <v>246</v>
      </c>
      <c r="B63" s="294">
        <f>Q55-K55</f>
        <v>1.5</v>
      </c>
      <c r="C63" s="268">
        <f>H55-D55</f>
        <v>1.0446533123969708</v>
      </c>
      <c r="D63" s="268">
        <v>0</v>
      </c>
      <c r="E63" s="268">
        <f t="shared" ref="E63:E80" si="10">B$63*COS(D63*PI()/180)+$K$55</f>
        <v>2</v>
      </c>
      <c r="F63" s="268">
        <f t="shared" ref="F63:F80" si="11">C$63*SIN(D63*PI()/180)+$D$55</f>
        <v>0.83814847520822522</v>
      </c>
      <c r="G63" s="270">
        <f>E63-F63</f>
        <v>1.1618515247917749</v>
      </c>
      <c r="H63" s="295">
        <f>Q56-K56</f>
        <v>1.5</v>
      </c>
      <c r="I63" s="268">
        <f>H56-D56</f>
        <v>1.0446533123969708</v>
      </c>
      <c r="J63" s="268">
        <v>0</v>
      </c>
      <c r="K63" s="268">
        <f t="shared" ref="K63:K80" si="12">H$63*COS(J63*PI()/180)+$K$56</f>
        <v>0</v>
      </c>
      <c r="L63" s="268">
        <f>I$63*SIN(J63*PI()/180)+$D$56</f>
        <v>0.83814847520822522</v>
      </c>
      <c r="M63" s="268">
        <f>K63-L63</f>
        <v>-0.83814847520822522</v>
      </c>
      <c r="N63" s="268"/>
      <c r="O63" s="294">
        <f>Q57-K57</f>
        <v>0</v>
      </c>
      <c r="P63" s="268" t="e">
        <f>H57-D57</f>
        <v>#VALUE!</v>
      </c>
      <c r="Q63" s="268">
        <v>0</v>
      </c>
      <c r="R63" s="268">
        <f>O$63*COS(Q63*PI()/180)+$K$57</f>
        <v>0</v>
      </c>
      <c r="S63" s="268" t="e">
        <f>P$63*SIN(Q63*PI()/180)+$D$57</f>
        <v>#VALUE!</v>
      </c>
      <c r="T63" s="257" t="e">
        <f>R63-S63</f>
        <v>#VALUE!</v>
      </c>
      <c r="U63" s="294">
        <f>Q58-K58</f>
        <v>0</v>
      </c>
      <c r="V63" s="268" t="e">
        <f>H58-D58</f>
        <v>#VALUE!</v>
      </c>
      <c r="W63" s="268">
        <v>0</v>
      </c>
      <c r="X63" s="268">
        <f>U$63*COS(W63*PI()/180)+$K$58</f>
        <v>0</v>
      </c>
      <c r="Y63" s="268" t="e">
        <f>V$63*SIN(W63*PI()/180)+$D$58</f>
        <v>#VALUE!</v>
      </c>
      <c r="Z63" s="270" t="e">
        <f>X63-Y63</f>
        <v>#VALUE!</v>
      </c>
    </row>
    <row r="64" spans="1:26" x14ac:dyDescent="0.25">
      <c r="A64" s="293"/>
      <c r="B64" s="293"/>
      <c r="C64" s="257"/>
      <c r="D64" s="257">
        <v>5</v>
      </c>
      <c r="E64" s="257">
        <f t="shared" si="10"/>
        <v>1.9942920471376184</v>
      </c>
      <c r="F64" s="257">
        <f t="shared" si="11"/>
        <v>0.9291960105639846</v>
      </c>
      <c r="G64" s="259">
        <f>E64-F64</f>
        <v>1.0650960365736339</v>
      </c>
      <c r="H64" s="257"/>
      <c r="I64" s="257"/>
      <c r="J64" s="257">
        <v>5</v>
      </c>
      <c r="K64" s="257">
        <f t="shared" si="12"/>
        <v>-5.7079528623815712E-3</v>
      </c>
      <c r="L64" s="257">
        <f t="shared" ref="L64:L127" si="13">I$63*SIN(J64*PI()/180)+$D$56</f>
        <v>0.9291960105639846</v>
      </c>
      <c r="M64" s="257">
        <f t="shared" ref="M64:M127" si="14">K64-L64</f>
        <v>-0.93490396342636617</v>
      </c>
      <c r="N64" s="257"/>
      <c r="O64" s="293"/>
      <c r="P64" s="257"/>
      <c r="Q64" s="257">
        <v>5</v>
      </c>
      <c r="R64" s="257">
        <f>O$63*COS(Q64*PI()/180)+$K$57</f>
        <v>0</v>
      </c>
      <c r="S64" s="257" t="e">
        <f t="shared" ref="S64:S80" si="15">P$63*SIN(Q64*PI()/180)+$D$57</f>
        <v>#VALUE!</v>
      </c>
      <c r="T64" s="257" t="e">
        <f t="shared" ref="T64:T127" si="16">R64-S64</f>
        <v>#VALUE!</v>
      </c>
      <c r="U64" s="293"/>
      <c r="V64" s="257"/>
      <c r="W64" s="257">
        <v>5</v>
      </c>
      <c r="X64" s="257">
        <f t="shared" ref="X64:X80" si="17">U$63*COS(W64*PI()/180)+$K$58</f>
        <v>0</v>
      </c>
      <c r="Y64" s="257" t="e">
        <f t="shared" ref="Y64:Y80" si="18">V$63*SIN(W64*PI()/180)+$D$58</f>
        <v>#VALUE!</v>
      </c>
      <c r="Z64" s="259" t="e">
        <f t="shared" ref="Z64:Z127" si="19">X64-Y64</f>
        <v>#VALUE!</v>
      </c>
    </row>
    <row r="65" spans="1:26" x14ac:dyDescent="0.25">
      <c r="A65" s="293"/>
      <c r="B65" s="293"/>
      <c r="C65" s="257"/>
      <c r="D65" s="257">
        <v>10</v>
      </c>
      <c r="E65" s="257">
        <f t="shared" si="10"/>
        <v>1.977211629518312</v>
      </c>
      <c r="F65" s="257">
        <f t="shared" si="11"/>
        <v>1.0195506191996817</v>
      </c>
      <c r="G65" s="259">
        <f t="shared" ref="G65:G128" si="20">E65-F65</f>
        <v>0.95766101031863027</v>
      </c>
      <c r="H65" s="257"/>
      <c r="I65" s="257"/>
      <c r="J65" s="257">
        <v>10</v>
      </c>
      <c r="K65" s="257">
        <f t="shared" si="12"/>
        <v>-2.2788370481688025E-2</v>
      </c>
      <c r="L65" s="257">
        <f t="shared" si="13"/>
        <v>1.0195506191996817</v>
      </c>
      <c r="M65" s="257">
        <f t="shared" si="14"/>
        <v>-1.0423389896813697</v>
      </c>
      <c r="N65" s="257"/>
      <c r="O65" s="293"/>
      <c r="P65" s="257"/>
      <c r="Q65" s="257">
        <v>10</v>
      </c>
      <c r="R65" s="257">
        <f t="shared" ref="R65:R80" si="21">O$63*COS(Q65*PI()/180)+$K$57</f>
        <v>0</v>
      </c>
      <c r="S65" s="257" t="e">
        <f t="shared" si="15"/>
        <v>#VALUE!</v>
      </c>
      <c r="T65" s="257" t="e">
        <f t="shared" si="16"/>
        <v>#VALUE!</v>
      </c>
      <c r="U65" s="293"/>
      <c r="V65" s="257"/>
      <c r="W65" s="257">
        <v>10</v>
      </c>
      <c r="X65" s="257">
        <f t="shared" si="17"/>
        <v>0</v>
      </c>
      <c r="Y65" s="257" t="e">
        <f t="shared" si="18"/>
        <v>#VALUE!</v>
      </c>
      <c r="Z65" s="259" t="e">
        <f t="shared" si="19"/>
        <v>#VALUE!</v>
      </c>
    </row>
    <row r="66" spans="1:26" x14ac:dyDescent="0.25">
      <c r="A66" s="293"/>
      <c r="B66" s="293"/>
      <c r="C66" s="257"/>
      <c r="D66" s="257">
        <v>15</v>
      </c>
      <c r="E66" s="257">
        <f t="shared" si="10"/>
        <v>1.9488887394336025</v>
      </c>
      <c r="F66" s="257">
        <f t="shared" si="11"/>
        <v>1.1085246479859945</v>
      </c>
      <c r="G66" s="259">
        <f t="shared" si="20"/>
        <v>0.84036409144760804</v>
      </c>
      <c r="H66" s="257"/>
      <c r="I66" s="257"/>
      <c r="J66" s="257">
        <v>15</v>
      </c>
      <c r="K66" s="257">
        <f t="shared" si="12"/>
        <v>-5.1111260566397476E-2</v>
      </c>
      <c r="L66" s="257">
        <f t="shared" si="13"/>
        <v>1.1085246479859945</v>
      </c>
      <c r="M66" s="257">
        <f t="shared" si="14"/>
        <v>-1.159635908552392</v>
      </c>
      <c r="N66" s="257"/>
      <c r="O66" s="293"/>
      <c r="P66" s="257"/>
      <c r="Q66" s="257">
        <v>15</v>
      </c>
      <c r="R66" s="257">
        <f t="shared" si="21"/>
        <v>0</v>
      </c>
      <c r="S66" s="257" t="e">
        <f t="shared" si="15"/>
        <v>#VALUE!</v>
      </c>
      <c r="T66" s="257" t="e">
        <f t="shared" si="16"/>
        <v>#VALUE!</v>
      </c>
      <c r="U66" s="293"/>
      <c r="V66" s="257"/>
      <c r="W66" s="257">
        <v>15</v>
      </c>
      <c r="X66" s="257">
        <f t="shared" si="17"/>
        <v>0</v>
      </c>
      <c r="Y66" s="257" t="e">
        <f t="shared" si="18"/>
        <v>#VALUE!</v>
      </c>
      <c r="Z66" s="259" t="e">
        <f t="shared" si="19"/>
        <v>#VALUE!</v>
      </c>
    </row>
    <row r="67" spans="1:26" x14ac:dyDescent="0.25">
      <c r="A67" s="293"/>
      <c r="B67" s="293"/>
      <c r="C67" s="257"/>
      <c r="D67" s="257">
        <v>20</v>
      </c>
      <c r="E67" s="257">
        <f t="shared" si="10"/>
        <v>1.9095389311788626</v>
      </c>
      <c r="F67" s="257">
        <f t="shared" si="11"/>
        <v>1.1954409508398718</v>
      </c>
      <c r="G67" s="259">
        <f t="shared" si="20"/>
        <v>0.71409798033899086</v>
      </c>
      <c r="H67" s="257"/>
      <c r="I67" s="257"/>
      <c r="J67" s="257">
        <v>20</v>
      </c>
      <c r="K67" s="257">
        <f t="shared" si="12"/>
        <v>-9.0461068821137358E-2</v>
      </c>
      <c r="L67" s="257">
        <f t="shared" si="13"/>
        <v>1.1954409508398718</v>
      </c>
      <c r="M67" s="257">
        <f t="shared" si="14"/>
        <v>-1.2859020196610091</v>
      </c>
      <c r="N67" s="257"/>
      <c r="O67" s="293"/>
      <c r="P67" s="257"/>
      <c r="Q67" s="257">
        <v>20</v>
      </c>
      <c r="R67" s="257">
        <f t="shared" si="21"/>
        <v>0</v>
      </c>
      <c r="S67" s="257" t="e">
        <f t="shared" si="15"/>
        <v>#VALUE!</v>
      </c>
      <c r="T67" s="257" t="e">
        <f t="shared" si="16"/>
        <v>#VALUE!</v>
      </c>
      <c r="U67" s="293"/>
      <c r="V67" s="257"/>
      <c r="W67" s="257">
        <v>20</v>
      </c>
      <c r="X67" s="257">
        <f t="shared" si="17"/>
        <v>0</v>
      </c>
      <c r="Y67" s="257" t="e">
        <f t="shared" si="18"/>
        <v>#VALUE!</v>
      </c>
      <c r="Z67" s="259" t="e">
        <f t="shared" si="19"/>
        <v>#VALUE!</v>
      </c>
    </row>
    <row r="68" spans="1:26" x14ac:dyDescent="0.25">
      <c r="A68" s="293"/>
      <c r="B68" s="293"/>
      <c r="C68" s="257"/>
      <c r="D68" s="257">
        <v>25</v>
      </c>
      <c r="E68" s="257">
        <f t="shared" si="10"/>
        <v>1.8594616805549748</v>
      </c>
      <c r="F68" s="257">
        <f t="shared" si="11"/>
        <v>1.2796380422150968</v>
      </c>
      <c r="G68" s="259">
        <f t="shared" si="20"/>
        <v>0.57982363833987804</v>
      </c>
      <c r="H68" s="257"/>
      <c r="I68" s="257"/>
      <c r="J68" s="257">
        <v>25</v>
      </c>
      <c r="K68" s="257">
        <f t="shared" si="12"/>
        <v>-0.14053831944502515</v>
      </c>
      <c r="L68" s="257">
        <f t="shared" si="13"/>
        <v>1.2796380422150968</v>
      </c>
      <c r="M68" s="257">
        <f t="shared" si="14"/>
        <v>-1.420176361660122</v>
      </c>
      <c r="N68" s="257"/>
      <c r="O68" s="293"/>
      <c r="P68" s="257"/>
      <c r="Q68" s="257">
        <v>25</v>
      </c>
      <c r="R68" s="257">
        <f t="shared" si="21"/>
        <v>0</v>
      </c>
      <c r="S68" s="257" t="e">
        <f t="shared" si="15"/>
        <v>#VALUE!</v>
      </c>
      <c r="T68" s="257" t="e">
        <f t="shared" si="16"/>
        <v>#VALUE!</v>
      </c>
      <c r="U68" s="293"/>
      <c r="V68" s="257"/>
      <c r="W68" s="257">
        <v>25</v>
      </c>
      <c r="X68" s="257">
        <f t="shared" si="17"/>
        <v>0</v>
      </c>
      <c r="Y68" s="257" t="e">
        <f t="shared" si="18"/>
        <v>#VALUE!</v>
      </c>
      <c r="Z68" s="259" t="e">
        <f t="shared" si="19"/>
        <v>#VALUE!</v>
      </c>
    </row>
    <row r="69" spans="1:26" x14ac:dyDescent="0.25">
      <c r="A69" s="293"/>
      <c r="B69" s="293"/>
      <c r="C69" s="257"/>
      <c r="D69" s="257">
        <v>30</v>
      </c>
      <c r="E69" s="257">
        <f t="shared" si="10"/>
        <v>1.799038105676658</v>
      </c>
      <c r="F69" s="257">
        <f t="shared" si="11"/>
        <v>1.3604751314067105</v>
      </c>
      <c r="G69" s="259">
        <f t="shared" si="20"/>
        <v>0.4385629742699475</v>
      </c>
      <c r="H69" s="257"/>
      <c r="I69" s="257"/>
      <c r="J69" s="257">
        <v>30</v>
      </c>
      <c r="K69" s="257">
        <f t="shared" si="12"/>
        <v>-0.20096189432334199</v>
      </c>
      <c r="L69" s="257">
        <f t="shared" si="13"/>
        <v>1.3604751314067105</v>
      </c>
      <c r="M69" s="257">
        <f t="shared" si="14"/>
        <v>-1.5614370257300525</v>
      </c>
      <c r="N69" s="257"/>
      <c r="O69" s="293"/>
      <c r="P69" s="257"/>
      <c r="Q69" s="257">
        <v>30</v>
      </c>
      <c r="R69" s="257">
        <f t="shared" si="21"/>
        <v>0</v>
      </c>
      <c r="S69" s="257" t="e">
        <f t="shared" si="15"/>
        <v>#VALUE!</v>
      </c>
      <c r="T69" s="257" t="e">
        <f t="shared" si="16"/>
        <v>#VALUE!</v>
      </c>
      <c r="U69" s="293"/>
      <c r="V69" s="257"/>
      <c r="W69" s="257">
        <v>30</v>
      </c>
      <c r="X69" s="257">
        <f t="shared" si="17"/>
        <v>0</v>
      </c>
      <c r="Y69" s="257" t="e">
        <f t="shared" si="18"/>
        <v>#VALUE!</v>
      </c>
      <c r="Z69" s="259" t="e">
        <f t="shared" si="19"/>
        <v>#VALUE!</v>
      </c>
    </row>
    <row r="70" spans="1:26" x14ac:dyDescent="0.25">
      <c r="A70" s="293"/>
      <c r="B70" s="293"/>
      <c r="C70" s="257"/>
      <c r="D70" s="257">
        <v>35</v>
      </c>
      <c r="E70" s="257">
        <f t="shared" si="10"/>
        <v>1.7287280664334876</v>
      </c>
      <c r="F70" s="257">
        <f t="shared" si="11"/>
        <v>1.4373369993551957</v>
      </c>
      <c r="G70" s="259">
        <f t="shared" si="20"/>
        <v>0.29139106707829199</v>
      </c>
      <c r="H70" s="257"/>
      <c r="I70" s="257"/>
      <c r="J70" s="257">
        <v>35</v>
      </c>
      <c r="K70" s="257">
        <f t="shared" si="12"/>
        <v>-0.27127193356651236</v>
      </c>
      <c r="L70" s="257">
        <f t="shared" si="13"/>
        <v>1.4373369993551957</v>
      </c>
      <c r="M70" s="257">
        <f t="shared" si="14"/>
        <v>-1.708608932921708</v>
      </c>
      <c r="N70" s="257"/>
      <c r="O70" s="293"/>
      <c r="P70" s="257"/>
      <c r="Q70" s="257">
        <v>35</v>
      </c>
      <c r="R70" s="257">
        <f t="shared" si="21"/>
        <v>0</v>
      </c>
      <c r="S70" s="257" t="e">
        <f t="shared" si="15"/>
        <v>#VALUE!</v>
      </c>
      <c r="T70" s="257" t="e">
        <f t="shared" si="16"/>
        <v>#VALUE!</v>
      </c>
      <c r="U70" s="293"/>
      <c r="V70" s="257"/>
      <c r="W70" s="257">
        <v>35</v>
      </c>
      <c r="X70" s="257">
        <f t="shared" si="17"/>
        <v>0</v>
      </c>
      <c r="Y70" s="257" t="e">
        <f t="shared" si="18"/>
        <v>#VALUE!</v>
      </c>
      <c r="Z70" s="259" t="e">
        <f t="shared" si="19"/>
        <v>#VALUE!</v>
      </c>
    </row>
    <row r="71" spans="1:26" x14ac:dyDescent="0.25">
      <c r="A71" s="293"/>
      <c r="B71" s="293"/>
      <c r="C71" s="257"/>
      <c r="D71" s="257">
        <v>40</v>
      </c>
      <c r="E71" s="257">
        <f t="shared" si="10"/>
        <v>1.6490666646784671</v>
      </c>
      <c r="F71" s="257">
        <f t="shared" si="11"/>
        <v>1.5096386808349997</v>
      </c>
      <c r="G71" s="259">
        <f t="shared" si="20"/>
        <v>0.13942798384346733</v>
      </c>
      <c r="H71" s="257"/>
      <c r="I71" s="257"/>
      <c r="J71" s="257">
        <v>40</v>
      </c>
      <c r="K71" s="257">
        <f t="shared" si="12"/>
        <v>-0.35093333532153292</v>
      </c>
      <c r="L71" s="257">
        <f t="shared" si="13"/>
        <v>1.5096386808349997</v>
      </c>
      <c r="M71" s="257">
        <f t="shared" si="14"/>
        <v>-1.8605720161565327</v>
      </c>
      <c r="N71" s="257"/>
      <c r="O71" s="293"/>
      <c r="P71" s="257"/>
      <c r="Q71" s="257">
        <v>40</v>
      </c>
      <c r="R71" s="257">
        <f t="shared" si="21"/>
        <v>0</v>
      </c>
      <c r="S71" s="257" t="e">
        <f t="shared" si="15"/>
        <v>#VALUE!</v>
      </c>
      <c r="T71" s="257" t="e">
        <f t="shared" si="16"/>
        <v>#VALUE!</v>
      </c>
      <c r="U71" s="293"/>
      <c r="V71" s="257"/>
      <c r="W71" s="257">
        <v>40</v>
      </c>
      <c r="X71" s="257">
        <f t="shared" si="17"/>
        <v>0</v>
      </c>
      <c r="Y71" s="257" t="e">
        <f t="shared" si="18"/>
        <v>#VALUE!</v>
      </c>
      <c r="Z71" s="259" t="e">
        <f t="shared" si="19"/>
        <v>#VALUE!</v>
      </c>
    </row>
    <row r="72" spans="1:26" x14ac:dyDescent="0.25">
      <c r="A72" s="293"/>
      <c r="B72" s="293"/>
      <c r="C72" s="257"/>
      <c r="D72" s="257">
        <v>45</v>
      </c>
      <c r="E72" s="257">
        <f t="shared" si="10"/>
        <v>1.5606601717798214</v>
      </c>
      <c r="F72" s="257">
        <f t="shared" si="11"/>
        <v>1.5768299163931121</v>
      </c>
      <c r="G72" s="259">
        <f t="shared" si="20"/>
        <v>-1.6169744613290682E-2</v>
      </c>
      <c r="H72" s="257"/>
      <c r="I72" s="257"/>
      <c r="J72" s="257">
        <v>45</v>
      </c>
      <c r="K72" s="257">
        <f t="shared" si="12"/>
        <v>-0.43933982822017859</v>
      </c>
      <c r="L72" s="257">
        <f t="shared" si="13"/>
        <v>1.5768299163931121</v>
      </c>
      <c r="M72" s="257">
        <f t="shared" si="14"/>
        <v>-2.0161697446132907</v>
      </c>
      <c r="N72" s="257"/>
      <c r="O72" s="293"/>
      <c r="P72" s="257"/>
      <c r="Q72" s="257">
        <v>45</v>
      </c>
      <c r="R72" s="257">
        <f t="shared" si="21"/>
        <v>0</v>
      </c>
      <c r="S72" s="257" t="e">
        <f t="shared" si="15"/>
        <v>#VALUE!</v>
      </c>
      <c r="T72" s="257" t="e">
        <f t="shared" si="16"/>
        <v>#VALUE!</v>
      </c>
      <c r="U72" s="293"/>
      <c r="V72" s="257"/>
      <c r="W72" s="257">
        <v>45</v>
      </c>
      <c r="X72" s="257">
        <f t="shared" si="17"/>
        <v>0</v>
      </c>
      <c r="Y72" s="257" t="e">
        <f t="shared" si="18"/>
        <v>#VALUE!</v>
      </c>
      <c r="Z72" s="259" t="e">
        <f t="shared" si="19"/>
        <v>#VALUE!</v>
      </c>
    </row>
    <row r="73" spans="1:26" x14ac:dyDescent="0.25">
      <c r="A73" s="293"/>
      <c r="B73" s="293"/>
      <c r="C73" s="257"/>
      <c r="D73" s="257">
        <v>50</v>
      </c>
      <c r="E73" s="257">
        <f t="shared" si="10"/>
        <v>1.4641814145298091</v>
      </c>
      <c r="F73" s="257">
        <f t="shared" si="11"/>
        <v>1.6383993401557584</v>
      </c>
      <c r="G73" s="259">
        <f t="shared" si="20"/>
        <v>-0.17421792562594929</v>
      </c>
      <c r="H73" s="257"/>
      <c r="I73" s="257"/>
      <c r="J73" s="257">
        <v>50</v>
      </c>
      <c r="K73" s="257">
        <f t="shared" si="12"/>
        <v>-0.5358185854701909</v>
      </c>
      <c r="L73" s="257">
        <f t="shared" si="13"/>
        <v>1.6383993401557584</v>
      </c>
      <c r="M73" s="257">
        <f t="shared" si="14"/>
        <v>-2.1742179256259493</v>
      </c>
      <c r="N73" s="257"/>
      <c r="O73" s="293"/>
      <c r="P73" s="257"/>
      <c r="Q73" s="257">
        <v>50</v>
      </c>
      <c r="R73" s="257">
        <f t="shared" si="21"/>
        <v>0</v>
      </c>
      <c r="S73" s="257" t="e">
        <f t="shared" si="15"/>
        <v>#VALUE!</v>
      </c>
      <c r="T73" s="257" t="e">
        <f t="shared" si="16"/>
        <v>#VALUE!</v>
      </c>
      <c r="U73" s="293"/>
      <c r="V73" s="257"/>
      <c r="W73" s="257">
        <v>50</v>
      </c>
      <c r="X73" s="257">
        <f t="shared" si="17"/>
        <v>0</v>
      </c>
      <c r="Y73" s="257" t="e">
        <f t="shared" si="18"/>
        <v>#VALUE!</v>
      </c>
      <c r="Z73" s="259" t="e">
        <f t="shared" si="19"/>
        <v>#VALUE!</v>
      </c>
    </row>
    <row r="74" spans="1:26" x14ac:dyDescent="0.25">
      <c r="A74" s="293"/>
      <c r="B74" s="293"/>
      <c r="C74" s="257"/>
      <c r="D74" s="257">
        <v>55</v>
      </c>
      <c r="E74" s="257">
        <f t="shared" si="10"/>
        <v>1.3603646545265693</v>
      </c>
      <c r="F74" s="257">
        <f t="shared" si="11"/>
        <v>1.6938783716314707</v>
      </c>
      <c r="G74" s="259">
        <f t="shared" si="20"/>
        <v>-0.33351371710490141</v>
      </c>
      <c r="H74" s="257"/>
      <c r="I74" s="257"/>
      <c r="J74" s="257">
        <v>55</v>
      </c>
      <c r="K74" s="257">
        <f t="shared" si="12"/>
        <v>-0.63963534547343071</v>
      </c>
      <c r="L74" s="257">
        <f t="shared" si="13"/>
        <v>1.6938783716314707</v>
      </c>
      <c r="M74" s="257">
        <f t="shared" si="14"/>
        <v>-2.3335137171049016</v>
      </c>
      <c r="N74" s="257"/>
      <c r="O74" s="293"/>
      <c r="P74" s="257"/>
      <c r="Q74" s="257">
        <v>55</v>
      </c>
      <c r="R74" s="257">
        <f t="shared" si="21"/>
        <v>0</v>
      </c>
      <c r="S74" s="257" t="e">
        <f t="shared" si="15"/>
        <v>#VALUE!</v>
      </c>
      <c r="T74" s="257" t="e">
        <f t="shared" si="16"/>
        <v>#VALUE!</v>
      </c>
      <c r="U74" s="293"/>
      <c r="V74" s="257"/>
      <c r="W74" s="257">
        <v>55</v>
      </c>
      <c r="X74" s="257">
        <f t="shared" si="17"/>
        <v>0</v>
      </c>
      <c r="Y74" s="257" t="e">
        <f t="shared" si="18"/>
        <v>#VALUE!</v>
      </c>
      <c r="Z74" s="259" t="e">
        <f t="shared" si="19"/>
        <v>#VALUE!</v>
      </c>
    </row>
    <row r="75" spans="1:26" x14ac:dyDescent="0.25">
      <c r="A75" s="293"/>
      <c r="B75" s="293"/>
      <c r="C75" s="257"/>
      <c r="D75" s="257">
        <v>60</v>
      </c>
      <c r="E75" s="257">
        <f t="shared" si="10"/>
        <v>1.2500000000000002</v>
      </c>
      <c r="F75" s="257">
        <f t="shared" si="11"/>
        <v>1.7428447818915631</v>
      </c>
      <c r="G75" s="259">
        <f t="shared" si="20"/>
        <v>-0.49284478189156289</v>
      </c>
      <c r="H75" s="257"/>
      <c r="I75" s="257"/>
      <c r="J75" s="257">
        <v>60</v>
      </c>
      <c r="K75" s="257">
        <f t="shared" si="12"/>
        <v>-0.74999999999999978</v>
      </c>
      <c r="L75" s="257">
        <f t="shared" si="13"/>
        <v>1.7428447818915631</v>
      </c>
      <c r="M75" s="257">
        <f t="shared" si="14"/>
        <v>-2.4928447818915629</v>
      </c>
      <c r="N75" s="257"/>
      <c r="O75" s="293"/>
      <c r="P75" s="257"/>
      <c r="Q75" s="257">
        <v>60</v>
      </c>
      <c r="R75" s="257">
        <f t="shared" si="21"/>
        <v>0</v>
      </c>
      <c r="S75" s="257" t="e">
        <f t="shared" si="15"/>
        <v>#VALUE!</v>
      </c>
      <c r="T75" s="257" t="e">
        <f t="shared" si="16"/>
        <v>#VALUE!</v>
      </c>
      <c r="U75" s="293"/>
      <c r="V75" s="257"/>
      <c r="W75" s="257">
        <v>60</v>
      </c>
      <c r="X75" s="257">
        <f t="shared" si="17"/>
        <v>0</v>
      </c>
      <c r="Y75" s="257" t="e">
        <f t="shared" si="18"/>
        <v>#VALUE!</v>
      </c>
      <c r="Z75" s="259" t="e">
        <f t="shared" si="19"/>
        <v>#VALUE!</v>
      </c>
    </row>
    <row r="76" spans="1:26" x14ac:dyDescent="0.25">
      <c r="A76" s="293"/>
      <c r="B76" s="293"/>
      <c r="C76" s="257"/>
      <c r="D76" s="257">
        <v>65</v>
      </c>
      <c r="E76" s="257">
        <f t="shared" si="10"/>
        <v>1.1339273926110491</v>
      </c>
      <c r="F76" s="257">
        <f t="shared" si="11"/>
        <v>1.7849259069872301</v>
      </c>
      <c r="G76" s="259">
        <f t="shared" si="20"/>
        <v>-0.65099851437618095</v>
      </c>
      <c r="H76" s="257"/>
      <c r="I76" s="257"/>
      <c r="J76" s="257">
        <v>65</v>
      </c>
      <c r="K76" s="257">
        <f t="shared" si="12"/>
        <v>-0.86607260738895087</v>
      </c>
      <c r="L76" s="257">
        <f t="shared" si="13"/>
        <v>1.7849259069872301</v>
      </c>
      <c r="M76" s="257">
        <f t="shared" si="14"/>
        <v>-2.6509985143761812</v>
      </c>
      <c r="N76" s="257"/>
      <c r="O76" s="293"/>
      <c r="P76" s="257"/>
      <c r="Q76" s="257">
        <v>65</v>
      </c>
      <c r="R76" s="257">
        <f t="shared" si="21"/>
        <v>0</v>
      </c>
      <c r="S76" s="257" t="e">
        <f t="shared" si="15"/>
        <v>#VALUE!</v>
      </c>
      <c r="T76" s="257" t="e">
        <f t="shared" si="16"/>
        <v>#VALUE!</v>
      </c>
      <c r="U76" s="293"/>
      <c r="V76" s="257"/>
      <c r="W76" s="257">
        <v>65</v>
      </c>
      <c r="X76" s="257">
        <f t="shared" si="17"/>
        <v>0</v>
      </c>
      <c r="Y76" s="257" t="e">
        <f t="shared" si="18"/>
        <v>#VALUE!</v>
      </c>
      <c r="Z76" s="259" t="e">
        <f t="shared" si="19"/>
        <v>#VALUE!</v>
      </c>
    </row>
    <row r="77" spans="1:26" x14ac:dyDescent="0.25">
      <c r="A77" s="293"/>
      <c r="B77" s="293"/>
      <c r="C77" s="257"/>
      <c r="D77" s="257">
        <v>70</v>
      </c>
      <c r="E77" s="257">
        <f t="shared" si="10"/>
        <v>1.0130302149885031</v>
      </c>
      <c r="F77" s="257">
        <f t="shared" si="11"/>
        <v>1.8198014841472148</v>
      </c>
      <c r="G77" s="259">
        <f t="shared" si="20"/>
        <v>-0.80677126915871167</v>
      </c>
      <c r="H77" s="257"/>
      <c r="I77" s="257"/>
      <c r="J77" s="257">
        <v>70</v>
      </c>
      <c r="K77" s="257">
        <f t="shared" si="12"/>
        <v>-0.98696978501149679</v>
      </c>
      <c r="L77" s="257">
        <f t="shared" si="13"/>
        <v>1.8198014841472148</v>
      </c>
      <c r="M77" s="257">
        <f t="shared" si="14"/>
        <v>-2.8067712691587117</v>
      </c>
      <c r="N77" s="257"/>
      <c r="O77" s="293"/>
      <c r="P77" s="257"/>
      <c r="Q77" s="257">
        <v>70</v>
      </c>
      <c r="R77" s="257">
        <f t="shared" si="21"/>
        <v>0</v>
      </c>
      <c r="S77" s="257" t="e">
        <f t="shared" si="15"/>
        <v>#VALUE!</v>
      </c>
      <c r="T77" s="257" t="e">
        <f t="shared" si="16"/>
        <v>#VALUE!</v>
      </c>
      <c r="U77" s="293"/>
      <c r="V77" s="257"/>
      <c r="W77" s="257">
        <v>70</v>
      </c>
      <c r="X77" s="257">
        <f t="shared" si="17"/>
        <v>0</v>
      </c>
      <c r="Y77" s="257" t="e">
        <f t="shared" si="18"/>
        <v>#VALUE!</v>
      </c>
      <c r="Z77" s="259" t="e">
        <f t="shared" si="19"/>
        <v>#VALUE!</v>
      </c>
    </row>
    <row r="78" spans="1:26" x14ac:dyDescent="0.25">
      <c r="A78" s="293"/>
      <c r="B78" s="293"/>
      <c r="C78" s="257"/>
      <c r="D78" s="257">
        <v>75</v>
      </c>
      <c r="E78" s="257">
        <f t="shared" si="10"/>
        <v>0.88822856765378111</v>
      </c>
      <c r="F78" s="257">
        <f t="shared" si="11"/>
        <v>1.8472060891708812</v>
      </c>
      <c r="G78" s="259">
        <f t="shared" si="20"/>
        <v>-0.95897752151710014</v>
      </c>
      <c r="H78" s="257"/>
      <c r="I78" s="257"/>
      <c r="J78" s="257">
        <v>75</v>
      </c>
      <c r="K78" s="257">
        <f t="shared" si="12"/>
        <v>-1.1117714323462189</v>
      </c>
      <c r="L78" s="257">
        <f t="shared" si="13"/>
        <v>1.8472060891708812</v>
      </c>
      <c r="M78" s="257">
        <f t="shared" si="14"/>
        <v>-2.9589775215171001</v>
      </c>
      <c r="N78" s="257"/>
      <c r="O78" s="293"/>
      <c r="P78" s="257"/>
      <c r="Q78" s="257">
        <v>75</v>
      </c>
      <c r="R78" s="257">
        <f t="shared" si="21"/>
        <v>0</v>
      </c>
      <c r="S78" s="257" t="e">
        <f t="shared" si="15"/>
        <v>#VALUE!</v>
      </c>
      <c r="T78" s="257" t="e">
        <f t="shared" si="16"/>
        <v>#VALUE!</v>
      </c>
      <c r="U78" s="293"/>
      <c r="V78" s="257"/>
      <c r="W78" s="257">
        <v>75</v>
      </c>
      <c r="X78" s="257">
        <f t="shared" si="17"/>
        <v>0</v>
      </c>
      <c r="Y78" s="257" t="e">
        <f t="shared" si="18"/>
        <v>#VALUE!</v>
      </c>
      <c r="Z78" s="259" t="e">
        <f t="shared" si="19"/>
        <v>#VALUE!</v>
      </c>
    </row>
    <row r="79" spans="1:26" x14ac:dyDescent="0.25">
      <c r="A79" s="293"/>
      <c r="B79" s="293"/>
      <c r="C79" s="257"/>
      <c r="D79" s="257">
        <v>80</v>
      </c>
      <c r="E79" s="257">
        <f t="shared" si="10"/>
        <v>0.76047226650039557</v>
      </c>
      <c r="F79" s="257">
        <f t="shared" si="11"/>
        <v>1.8669311564666464</v>
      </c>
      <c r="G79" s="259">
        <f t="shared" si="20"/>
        <v>-1.1064588899662509</v>
      </c>
      <c r="H79" s="257"/>
      <c r="I79" s="257"/>
      <c r="J79" s="257">
        <v>80</v>
      </c>
      <c r="K79" s="257">
        <f t="shared" si="12"/>
        <v>-1.2395277334996044</v>
      </c>
      <c r="L79" s="257">
        <f t="shared" si="13"/>
        <v>1.8669311564666464</v>
      </c>
      <c r="M79" s="257">
        <f t="shared" si="14"/>
        <v>-3.1064588899662509</v>
      </c>
      <c r="N79" s="257"/>
      <c r="O79" s="293"/>
      <c r="P79" s="257"/>
      <c r="Q79" s="257">
        <v>80</v>
      </c>
      <c r="R79" s="257">
        <f t="shared" si="21"/>
        <v>0</v>
      </c>
      <c r="S79" s="257" t="e">
        <f t="shared" si="15"/>
        <v>#VALUE!</v>
      </c>
      <c r="T79" s="257" t="e">
        <f t="shared" si="16"/>
        <v>#VALUE!</v>
      </c>
      <c r="U79" s="293"/>
      <c r="V79" s="257"/>
      <c r="W79" s="257">
        <v>80</v>
      </c>
      <c r="X79" s="257">
        <f t="shared" si="17"/>
        <v>0</v>
      </c>
      <c r="Y79" s="257" t="e">
        <f t="shared" si="18"/>
        <v>#VALUE!</v>
      </c>
      <c r="Z79" s="259" t="e">
        <f t="shared" si="19"/>
        <v>#VALUE!</v>
      </c>
    </row>
    <row r="80" spans="1:26" ht="15.75" thickBot="1" x14ac:dyDescent="0.3">
      <c r="A80" s="293"/>
      <c r="B80" s="293"/>
      <c r="C80" s="257"/>
      <c r="D80" s="257">
        <v>85</v>
      </c>
      <c r="E80" s="257">
        <f t="shared" si="10"/>
        <v>0.63073361412148721</v>
      </c>
      <c r="F80" s="257">
        <f t="shared" si="11"/>
        <v>1.8788265663620676</v>
      </c>
      <c r="G80" s="263">
        <f t="shared" si="20"/>
        <v>-1.2480929522405804</v>
      </c>
      <c r="H80" s="257"/>
      <c r="I80" s="257"/>
      <c r="J80" s="257">
        <v>85</v>
      </c>
      <c r="K80" s="257">
        <f t="shared" si="12"/>
        <v>-1.3692663858785128</v>
      </c>
      <c r="L80" s="257">
        <f t="shared" si="13"/>
        <v>1.8788265663620676</v>
      </c>
      <c r="M80" s="262">
        <f t="shared" si="14"/>
        <v>-3.2480929522405804</v>
      </c>
      <c r="N80" s="257"/>
      <c r="O80" s="293"/>
      <c r="P80" s="257"/>
      <c r="Q80" s="257">
        <v>85</v>
      </c>
      <c r="R80" s="257">
        <f t="shared" si="21"/>
        <v>0</v>
      </c>
      <c r="S80" s="257" t="e">
        <f t="shared" si="15"/>
        <v>#VALUE!</v>
      </c>
      <c r="T80" s="262" t="e">
        <f t="shared" si="16"/>
        <v>#VALUE!</v>
      </c>
      <c r="U80" s="293"/>
      <c r="V80" s="257"/>
      <c r="W80" s="257">
        <v>85</v>
      </c>
      <c r="X80" s="257">
        <f t="shared" si="17"/>
        <v>0</v>
      </c>
      <c r="Y80" s="257" t="e">
        <f t="shared" si="18"/>
        <v>#VALUE!</v>
      </c>
      <c r="Z80" s="263" t="e">
        <f t="shared" si="19"/>
        <v>#VALUE!</v>
      </c>
    </row>
    <row r="81" spans="1:26" x14ac:dyDescent="0.25">
      <c r="A81" s="267" t="s">
        <v>247</v>
      </c>
      <c r="B81" s="294">
        <f>K55-P55</f>
        <v>1.5</v>
      </c>
      <c r="C81" s="296">
        <f>C63</f>
        <v>1.0446533123969708</v>
      </c>
      <c r="D81" s="268">
        <v>90</v>
      </c>
      <c r="E81" s="268">
        <f t="shared" ref="E81:E98" si="22">B$81*COS(D81*PI()/180)+$K$55</f>
        <v>0.50000000000000011</v>
      </c>
      <c r="F81" s="268">
        <f t="shared" ref="F81:F98" si="23">C$81*SIN(D81*PI()/180)+$D$55</f>
        <v>1.8828017876051959</v>
      </c>
      <c r="G81" s="259">
        <f t="shared" si="20"/>
        <v>-1.3828017876051959</v>
      </c>
      <c r="H81" s="295">
        <f>K56-P56</f>
        <v>2.5</v>
      </c>
      <c r="I81" s="296">
        <f>I63</f>
        <v>1.0446533123969708</v>
      </c>
      <c r="J81" s="268">
        <v>90</v>
      </c>
      <c r="K81" s="268">
        <f t="shared" ref="K81:K98" si="24">H$81*COS(J81*PI()/180)+$K$56</f>
        <v>-1.4999999999999998</v>
      </c>
      <c r="L81" s="268">
        <f t="shared" si="13"/>
        <v>1.8828017876051959</v>
      </c>
      <c r="M81" s="257">
        <f t="shared" si="14"/>
        <v>-3.3828017876051959</v>
      </c>
      <c r="N81" s="268"/>
      <c r="O81" s="294">
        <f>K57-P57</f>
        <v>0</v>
      </c>
      <c r="P81" s="296" t="e">
        <f>P63</f>
        <v>#VALUE!</v>
      </c>
      <c r="Q81" s="268">
        <v>90</v>
      </c>
      <c r="R81" s="268">
        <f>O$81*COS(Q81*PI()/180)+$K$57</f>
        <v>0</v>
      </c>
      <c r="S81" s="268" t="e">
        <f>P$81*SIN(Q81*PI()/180)+$D$57</f>
        <v>#VALUE!</v>
      </c>
      <c r="T81" s="257" t="e">
        <f t="shared" si="16"/>
        <v>#VALUE!</v>
      </c>
      <c r="U81" s="294">
        <f>K58-P58</f>
        <v>0</v>
      </c>
      <c r="V81" s="296" t="e">
        <f>V63</f>
        <v>#VALUE!</v>
      </c>
      <c r="W81" s="268">
        <v>90</v>
      </c>
      <c r="X81" s="268">
        <f>U$81*COS(W81*PI()/180)+$K$58</f>
        <v>0</v>
      </c>
      <c r="Y81" s="268" t="e">
        <f>V$81*SIN(W81*PI()/180)+$D$58</f>
        <v>#VALUE!</v>
      </c>
      <c r="Z81" s="259" t="e">
        <f t="shared" si="19"/>
        <v>#VALUE!</v>
      </c>
    </row>
    <row r="82" spans="1:26" x14ac:dyDescent="0.25">
      <c r="A82" s="293"/>
      <c r="B82" s="293"/>
      <c r="C82" s="257"/>
      <c r="D82" s="257">
        <v>95</v>
      </c>
      <c r="E82" s="257">
        <f t="shared" si="22"/>
        <v>0.36926638587851268</v>
      </c>
      <c r="F82" s="257">
        <f t="shared" si="23"/>
        <v>1.8788265663620676</v>
      </c>
      <c r="G82" s="259">
        <f t="shared" si="20"/>
        <v>-1.5095601804835548</v>
      </c>
      <c r="H82" s="257"/>
      <c r="I82" s="257"/>
      <c r="J82" s="257">
        <v>95</v>
      </c>
      <c r="K82" s="257">
        <f t="shared" si="24"/>
        <v>-1.7178893568691456</v>
      </c>
      <c r="L82" s="257">
        <f t="shared" si="13"/>
        <v>1.8788265663620676</v>
      </c>
      <c r="M82" s="257">
        <f t="shared" si="14"/>
        <v>-3.5967159232312129</v>
      </c>
      <c r="N82" s="257"/>
      <c r="O82" s="293"/>
      <c r="P82" s="257"/>
      <c r="Q82" s="257">
        <v>95</v>
      </c>
      <c r="R82" s="257">
        <f t="shared" ref="R82:R98" si="25">O$81*COS(Q82*PI()/180)+$K$57</f>
        <v>0</v>
      </c>
      <c r="S82" s="257" t="e">
        <f t="shared" ref="S82:S98" si="26">P$81*SIN(Q82*PI()/180)+$D$57</f>
        <v>#VALUE!</v>
      </c>
      <c r="T82" s="257" t="e">
        <f t="shared" si="16"/>
        <v>#VALUE!</v>
      </c>
      <c r="U82" s="293"/>
      <c r="V82" s="257"/>
      <c r="W82" s="257">
        <v>95</v>
      </c>
      <c r="X82" s="257">
        <f t="shared" ref="X82:X98" si="27">U$81*COS(W82*PI()/180)+$K$58</f>
        <v>0</v>
      </c>
      <c r="Y82" s="257" t="e">
        <f t="shared" ref="Y82:Y98" si="28">V$81*SIN(W82*PI()/180)+$D$58</f>
        <v>#VALUE!</v>
      </c>
      <c r="Z82" s="259" t="e">
        <f t="shared" si="19"/>
        <v>#VALUE!</v>
      </c>
    </row>
    <row r="83" spans="1:26" x14ac:dyDescent="0.25">
      <c r="A83" s="293"/>
      <c r="B83" s="293"/>
      <c r="C83" s="257"/>
      <c r="D83" s="257">
        <v>100</v>
      </c>
      <c r="E83" s="257">
        <f t="shared" si="22"/>
        <v>0.23952773349960454</v>
      </c>
      <c r="F83" s="257">
        <f t="shared" si="23"/>
        <v>1.8669311564666464</v>
      </c>
      <c r="G83" s="259">
        <f t="shared" si="20"/>
        <v>-1.627403422967042</v>
      </c>
      <c r="H83" s="257"/>
      <c r="I83" s="257"/>
      <c r="J83" s="257">
        <v>100</v>
      </c>
      <c r="K83" s="257">
        <f t="shared" si="24"/>
        <v>-1.9341204441673256</v>
      </c>
      <c r="L83" s="257">
        <f t="shared" si="13"/>
        <v>1.8669311564666464</v>
      </c>
      <c r="M83" s="257">
        <f t="shared" si="14"/>
        <v>-3.8010516006339721</v>
      </c>
      <c r="N83" s="257"/>
      <c r="O83" s="293"/>
      <c r="P83" s="257"/>
      <c r="Q83" s="257">
        <v>100</v>
      </c>
      <c r="R83" s="257">
        <f t="shared" si="25"/>
        <v>0</v>
      </c>
      <c r="S83" s="257" t="e">
        <f t="shared" si="26"/>
        <v>#VALUE!</v>
      </c>
      <c r="T83" s="257" t="e">
        <f t="shared" si="16"/>
        <v>#VALUE!</v>
      </c>
      <c r="U83" s="293"/>
      <c r="V83" s="257"/>
      <c r="W83" s="257">
        <v>100</v>
      </c>
      <c r="X83" s="257">
        <f t="shared" si="27"/>
        <v>0</v>
      </c>
      <c r="Y83" s="257" t="e">
        <f t="shared" si="28"/>
        <v>#VALUE!</v>
      </c>
      <c r="Z83" s="259" t="e">
        <f t="shared" si="19"/>
        <v>#VALUE!</v>
      </c>
    </row>
    <row r="84" spans="1:26" x14ac:dyDescent="0.25">
      <c r="A84" s="293"/>
      <c r="B84" s="293"/>
      <c r="C84" s="257"/>
      <c r="D84" s="257">
        <v>105</v>
      </c>
      <c r="E84" s="257">
        <f t="shared" si="22"/>
        <v>0.11177143234621872</v>
      </c>
      <c r="F84" s="257">
        <f t="shared" si="23"/>
        <v>1.8472060891708812</v>
      </c>
      <c r="G84" s="259">
        <f t="shared" si="20"/>
        <v>-1.7354346568246626</v>
      </c>
      <c r="H84" s="257"/>
      <c r="I84" s="257"/>
      <c r="J84" s="257">
        <v>105</v>
      </c>
      <c r="K84" s="257">
        <f t="shared" si="24"/>
        <v>-2.1470476127563023</v>
      </c>
      <c r="L84" s="257">
        <f t="shared" si="13"/>
        <v>1.8472060891708812</v>
      </c>
      <c r="M84" s="257">
        <f t="shared" si="14"/>
        <v>-3.9942537019271835</v>
      </c>
      <c r="N84" s="257"/>
      <c r="O84" s="293"/>
      <c r="P84" s="257"/>
      <c r="Q84" s="257">
        <v>105</v>
      </c>
      <c r="R84" s="257">
        <f t="shared" si="25"/>
        <v>0</v>
      </c>
      <c r="S84" s="257" t="e">
        <f t="shared" si="26"/>
        <v>#VALUE!</v>
      </c>
      <c r="T84" s="257" t="e">
        <f t="shared" si="16"/>
        <v>#VALUE!</v>
      </c>
      <c r="U84" s="293"/>
      <c r="V84" s="257"/>
      <c r="W84" s="257">
        <v>105</v>
      </c>
      <c r="X84" s="257">
        <f t="shared" si="27"/>
        <v>0</v>
      </c>
      <c r="Y84" s="257" t="e">
        <f t="shared" si="28"/>
        <v>#VALUE!</v>
      </c>
      <c r="Z84" s="259" t="e">
        <f t="shared" si="19"/>
        <v>#VALUE!</v>
      </c>
    </row>
    <row r="85" spans="1:26" x14ac:dyDescent="0.25">
      <c r="A85" s="293"/>
      <c r="B85" s="293"/>
      <c r="C85" s="257"/>
      <c r="D85" s="257">
        <v>110</v>
      </c>
      <c r="E85" s="257">
        <f t="shared" si="22"/>
        <v>-1.3030214988503097E-2</v>
      </c>
      <c r="F85" s="257">
        <f t="shared" si="23"/>
        <v>1.819801484147215</v>
      </c>
      <c r="G85" s="259">
        <f t="shared" si="20"/>
        <v>-1.8328316991357181</v>
      </c>
      <c r="H85" s="257"/>
      <c r="I85" s="257"/>
      <c r="J85" s="257">
        <v>110</v>
      </c>
      <c r="K85" s="257">
        <f t="shared" si="24"/>
        <v>-2.3550503583141715</v>
      </c>
      <c r="L85" s="257">
        <f t="shared" si="13"/>
        <v>1.819801484147215</v>
      </c>
      <c r="M85" s="257">
        <f t="shared" si="14"/>
        <v>-4.1748518424613863</v>
      </c>
      <c r="N85" s="257"/>
      <c r="O85" s="293"/>
      <c r="P85" s="257"/>
      <c r="Q85" s="257">
        <v>110</v>
      </c>
      <c r="R85" s="257">
        <f t="shared" si="25"/>
        <v>0</v>
      </c>
      <c r="S85" s="257" t="e">
        <f t="shared" si="26"/>
        <v>#VALUE!</v>
      </c>
      <c r="T85" s="257" t="e">
        <f t="shared" si="16"/>
        <v>#VALUE!</v>
      </c>
      <c r="U85" s="293"/>
      <c r="V85" s="257"/>
      <c r="W85" s="257">
        <v>110</v>
      </c>
      <c r="X85" s="257">
        <f t="shared" si="27"/>
        <v>0</v>
      </c>
      <c r="Y85" s="257" t="e">
        <f t="shared" si="28"/>
        <v>#VALUE!</v>
      </c>
      <c r="Z85" s="259" t="e">
        <f t="shared" si="19"/>
        <v>#VALUE!</v>
      </c>
    </row>
    <row r="86" spans="1:26" x14ac:dyDescent="0.25">
      <c r="A86" s="293"/>
      <c r="B86" s="293"/>
      <c r="C86" s="257"/>
      <c r="D86" s="257">
        <v>115</v>
      </c>
      <c r="E86" s="257">
        <f t="shared" si="22"/>
        <v>-0.13392739261104902</v>
      </c>
      <c r="F86" s="257">
        <f t="shared" si="23"/>
        <v>1.7849259069872301</v>
      </c>
      <c r="G86" s="259">
        <f t="shared" si="20"/>
        <v>-1.918853299598279</v>
      </c>
      <c r="H86" s="257"/>
      <c r="I86" s="257"/>
      <c r="J86" s="257">
        <v>115</v>
      </c>
      <c r="K86" s="257">
        <f t="shared" si="24"/>
        <v>-2.5565456543517486</v>
      </c>
      <c r="L86" s="257">
        <f t="shared" si="13"/>
        <v>1.7849259069872301</v>
      </c>
      <c r="M86" s="257">
        <f t="shared" si="14"/>
        <v>-4.3414715613389792</v>
      </c>
      <c r="N86" s="257"/>
      <c r="O86" s="293"/>
      <c r="P86" s="257"/>
      <c r="Q86" s="257">
        <v>115</v>
      </c>
      <c r="R86" s="257">
        <f t="shared" si="25"/>
        <v>0</v>
      </c>
      <c r="S86" s="257" t="e">
        <f t="shared" si="26"/>
        <v>#VALUE!</v>
      </c>
      <c r="T86" s="257" t="e">
        <f t="shared" si="16"/>
        <v>#VALUE!</v>
      </c>
      <c r="U86" s="293"/>
      <c r="V86" s="257"/>
      <c r="W86" s="257">
        <v>115</v>
      </c>
      <c r="X86" s="257">
        <f t="shared" si="27"/>
        <v>0</v>
      </c>
      <c r="Y86" s="257" t="e">
        <f t="shared" si="28"/>
        <v>#VALUE!</v>
      </c>
      <c r="Z86" s="259" t="e">
        <f t="shared" si="19"/>
        <v>#VALUE!</v>
      </c>
    </row>
    <row r="87" spans="1:26" x14ac:dyDescent="0.25">
      <c r="A87" s="293"/>
      <c r="B87" s="293"/>
      <c r="C87" s="257"/>
      <c r="D87" s="257">
        <v>120</v>
      </c>
      <c r="E87" s="257">
        <f t="shared" si="22"/>
        <v>-0.24999999999999967</v>
      </c>
      <c r="F87" s="257">
        <f t="shared" si="23"/>
        <v>1.7428447818915633</v>
      </c>
      <c r="G87" s="259">
        <f t="shared" si="20"/>
        <v>-1.9928447818915629</v>
      </c>
      <c r="H87" s="257"/>
      <c r="I87" s="257"/>
      <c r="J87" s="257">
        <v>120</v>
      </c>
      <c r="K87" s="257">
        <f t="shared" si="24"/>
        <v>-2.7499999999999996</v>
      </c>
      <c r="L87" s="257">
        <f t="shared" si="13"/>
        <v>1.7428447818915633</v>
      </c>
      <c r="M87" s="257">
        <f t="shared" si="14"/>
        <v>-4.4928447818915629</v>
      </c>
      <c r="N87" s="257"/>
      <c r="O87" s="293"/>
      <c r="P87" s="257"/>
      <c r="Q87" s="257">
        <v>120</v>
      </c>
      <c r="R87" s="257">
        <f t="shared" si="25"/>
        <v>0</v>
      </c>
      <c r="S87" s="257" t="e">
        <f t="shared" si="26"/>
        <v>#VALUE!</v>
      </c>
      <c r="T87" s="257" t="e">
        <f t="shared" si="16"/>
        <v>#VALUE!</v>
      </c>
      <c r="U87" s="293"/>
      <c r="V87" s="257"/>
      <c r="W87" s="257">
        <v>120</v>
      </c>
      <c r="X87" s="257">
        <f t="shared" si="27"/>
        <v>0</v>
      </c>
      <c r="Y87" s="257" t="e">
        <f t="shared" si="28"/>
        <v>#VALUE!</v>
      </c>
      <c r="Z87" s="259" t="e">
        <f t="shared" si="19"/>
        <v>#VALUE!</v>
      </c>
    </row>
    <row r="88" spans="1:26" x14ac:dyDescent="0.25">
      <c r="A88" s="293"/>
      <c r="B88" s="293"/>
      <c r="C88" s="257"/>
      <c r="D88" s="257">
        <v>125</v>
      </c>
      <c r="E88" s="257">
        <f t="shared" si="22"/>
        <v>-0.36036465452656874</v>
      </c>
      <c r="F88" s="257">
        <f t="shared" si="23"/>
        <v>1.6938783716314707</v>
      </c>
      <c r="G88" s="259">
        <f t="shared" si="20"/>
        <v>-2.0542430261580393</v>
      </c>
      <c r="H88" s="257"/>
      <c r="I88" s="257"/>
      <c r="J88" s="257">
        <v>125</v>
      </c>
      <c r="K88" s="257">
        <f t="shared" si="24"/>
        <v>-2.9339410908776147</v>
      </c>
      <c r="L88" s="257">
        <f t="shared" si="13"/>
        <v>1.6938783716314707</v>
      </c>
      <c r="M88" s="257">
        <f t="shared" si="14"/>
        <v>-4.6278194625090858</v>
      </c>
      <c r="N88" s="257"/>
      <c r="O88" s="293"/>
      <c r="P88" s="257"/>
      <c r="Q88" s="257">
        <v>125</v>
      </c>
      <c r="R88" s="257">
        <f t="shared" si="25"/>
        <v>0</v>
      </c>
      <c r="S88" s="257" t="e">
        <f t="shared" si="26"/>
        <v>#VALUE!</v>
      </c>
      <c r="T88" s="257" t="e">
        <f t="shared" si="16"/>
        <v>#VALUE!</v>
      </c>
      <c r="U88" s="293"/>
      <c r="V88" s="257"/>
      <c r="W88" s="257">
        <v>125</v>
      </c>
      <c r="X88" s="257">
        <f t="shared" si="27"/>
        <v>0</v>
      </c>
      <c r="Y88" s="257" t="e">
        <f t="shared" si="28"/>
        <v>#VALUE!</v>
      </c>
      <c r="Z88" s="259" t="e">
        <f t="shared" si="19"/>
        <v>#VALUE!</v>
      </c>
    </row>
    <row r="89" spans="1:26" x14ac:dyDescent="0.25">
      <c r="A89" s="293"/>
      <c r="B89" s="293"/>
      <c r="C89" s="257"/>
      <c r="D89" s="257">
        <v>130</v>
      </c>
      <c r="E89" s="257">
        <f t="shared" si="22"/>
        <v>-0.4641814145298091</v>
      </c>
      <c r="F89" s="257">
        <f t="shared" si="23"/>
        <v>1.6383993401557584</v>
      </c>
      <c r="G89" s="259">
        <f t="shared" si="20"/>
        <v>-2.1025807546855675</v>
      </c>
      <c r="H89" s="257"/>
      <c r="I89" s="257"/>
      <c r="J89" s="257">
        <v>130</v>
      </c>
      <c r="K89" s="257">
        <f t="shared" si="24"/>
        <v>-3.1069690242163484</v>
      </c>
      <c r="L89" s="257">
        <f t="shared" si="13"/>
        <v>1.6383993401557584</v>
      </c>
      <c r="M89" s="257">
        <f t="shared" si="14"/>
        <v>-4.7453683643721067</v>
      </c>
      <c r="N89" s="257"/>
      <c r="O89" s="293"/>
      <c r="P89" s="257"/>
      <c r="Q89" s="257">
        <v>130</v>
      </c>
      <c r="R89" s="257">
        <f t="shared" si="25"/>
        <v>0</v>
      </c>
      <c r="S89" s="257" t="e">
        <f t="shared" si="26"/>
        <v>#VALUE!</v>
      </c>
      <c r="T89" s="257" t="e">
        <f t="shared" si="16"/>
        <v>#VALUE!</v>
      </c>
      <c r="U89" s="293"/>
      <c r="V89" s="257"/>
      <c r="W89" s="257">
        <v>130</v>
      </c>
      <c r="X89" s="257">
        <f t="shared" si="27"/>
        <v>0</v>
      </c>
      <c r="Y89" s="257" t="e">
        <f t="shared" si="28"/>
        <v>#VALUE!</v>
      </c>
      <c r="Z89" s="259" t="e">
        <f t="shared" si="19"/>
        <v>#VALUE!</v>
      </c>
    </row>
    <row r="90" spans="1:26" x14ac:dyDescent="0.25">
      <c r="A90" s="293"/>
      <c r="B90" s="293"/>
      <c r="C90" s="257"/>
      <c r="D90" s="257">
        <v>135</v>
      </c>
      <c r="E90" s="257">
        <f t="shared" si="22"/>
        <v>-0.56066017177982119</v>
      </c>
      <c r="F90" s="257">
        <f t="shared" si="23"/>
        <v>1.5768299163931121</v>
      </c>
      <c r="G90" s="259">
        <f t="shared" si="20"/>
        <v>-2.1374900881729335</v>
      </c>
      <c r="H90" s="257"/>
      <c r="I90" s="257"/>
      <c r="J90" s="257">
        <v>135</v>
      </c>
      <c r="K90" s="257">
        <f t="shared" si="24"/>
        <v>-3.2677669529663689</v>
      </c>
      <c r="L90" s="257">
        <f t="shared" si="13"/>
        <v>1.5768299163931121</v>
      </c>
      <c r="M90" s="257">
        <f t="shared" si="14"/>
        <v>-4.8445968693594814</v>
      </c>
      <c r="N90" s="257"/>
      <c r="O90" s="293"/>
      <c r="P90" s="257"/>
      <c r="Q90" s="257">
        <v>135</v>
      </c>
      <c r="R90" s="257">
        <f t="shared" si="25"/>
        <v>0</v>
      </c>
      <c r="S90" s="257" t="e">
        <f t="shared" si="26"/>
        <v>#VALUE!</v>
      </c>
      <c r="T90" s="257" t="e">
        <f t="shared" si="16"/>
        <v>#VALUE!</v>
      </c>
      <c r="U90" s="293"/>
      <c r="V90" s="257"/>
      <c r="W90" s="257">
        <v>135</v>
      </c>
      <c r="X90" s="257">
        <f t="shared" si="27"/>
        <v>0</v>
      </c>
      <c r="Y90" s="257" t="e">
        <f t="shared" si="28"/>
        <v>#VALUE!</v>
      </c>
      <c r="Z90" s="259" t="e">
        <f t="shared" si="19"/>
        <v>#VALUE!</v>
      </c>
    </row>
    <row r="91" spans="1:26" x14ac:dyDescent="0.25">
      <c r="A91" s="293"/>
      <c r="B91" s="293"/>
      <c r="C91" s="257"/>
      <c r="D91" s="257">
        <v>140</v>
      </c>
      <c r="E91" s="257">
        <f t="shared" si="22"/>
        <v>-0.64906666467846685</v>
      </c>
      <c r="F91" s="257">
        <f t="shared" si="23"/>
        <v>1.5096386808349997</v>
      </c>
      <c r="G91" s="259">
        <f t="shared" si="20"/>
        <v>-2.1587053455134666</v>
      </c>
      <c r="H91" s="257"/>
      <c r="I91" s="257"/>
      <c r="J91" s="257">
        <v>140</v>
      </c>
      <c r="K91" s="257">
        <f t="shared" si="24"/>
        <v>-3.4151111077974448</v>
      </c>
      <c r="L91" s="257">
        <f t="shared" si="13"/>
        <v>1.5096386808349997</v>
      </c>
      <c r="M91" s="257">
        <f t="shared" si="14"/>
        <v>-4.9247497886324449</v>
      </c>
      <c r="N91" s="257"/>
      <c r="O91" s="293"/>
      <c r="P91" s="257"/>
      <c r="Q91" s="257">
        <v>140</v>
      </c>
      <c r="R91" s="257">
        <f t="shared" si="25"/>
        <v>0</v>
      </c>
      <c r="S91" s="257" t="e">
        <f t="shared" si="26"/>
        <v>#VALUE!</v>
      </c>
      <c r="T91" s="257" t="e">
        <f t="shared" si="16"/>
        <v>#VALUE!</v>
      </c>
      <c r="U91" s="293"/>
      <c r="V91" s="257"/>
      <c r="W91" s="257">
        <v>140</v>
      </c>
      <c r="X91" s="257">
        <f t="shared" si="27"/>
        <v>0</v>
      </c>
      <c r="Y91" s="257" t="e">
        <f t="shared" si="28"/>
        <v>#VALUE!</v>
      </c>
      <c r="Z91" s="259" t="e">
        <f t="shared" si="19"/>
        <v>#VALUE!</v>
      </c>
    </row>
    <row r="92" spans="1:26" x14ac:dyDescent="0.25">
      <c r="A92" s="293"/>
      <c r="B92" s="293"/>
      <c r="C92" s="257"/>
      <c r="D92" s="257">
        <v>145</v>
      </c>
      <c r="E92" s="257">
        <f t="shared" si="22"/>
        <v>-0.72872806643348742</v>
      </c>
      <c r="F92" s="257">
        <f t="shared" si="23"/>
        <v>1.4373369993551961</v>
      </c>
      <c r="G92" s="259">
        <f t="shared" si="20"/>
        <v>-2.1660650657886835</v>
      </c>
      <c r="H92" s="257"/>
      <c r="I92" s="257"/>
      <c r="J92" s="257">
        <v>145</v>
      </c>
      <c r="K92" s="257">
        <f t="shared" si="24"/>
        <v>-3.5478801107224789</v>
      </c>
      <c r="L92" s="257">
        <f t="shared" si="13"/>
        <v>1.4373369993551961</v>
      </c>
      <c r="M92" s="257">
        <f t="shared" si="14"/>
        <v>-4.9852171100776754</v>
      </c>
      <c r="N92" s="257"/>
      <c r="O92" s="293"/>
      <c r="P92" s="257"/>
      <c r="Q92" s="257">
        <v>145</v>
      </c>
      <c r="R92" s="257">
        <f t="shared" si="25"/>
        <v>0</v>
      </c>
      <c r="S92" s="257" t="e">
        <f t="shared" si="26"/>
        <v>#VALUE!</v>
      </c>
      <c r="T92" s="257" t="e">
        <f t="shared" si="16"/>
        <v>#VALUE!</v>
      </c>
      <c r="U92" s="293"/>
      <c r="V92" s="257"/>
      <c r="W92" s="257">
        <v>145</v>
      </c>
      <c r="X92" s="257">
        <f t="shared" si="27"/>
        <v>0</v>
      </c>
      <c r="Y92" s="257" t="e">
        <f t="shared" si="28"/>
        <v>#VALUE!</v>
      </c>
      <c r="Z92" s="259" t="e">
        <f t="shared" si="19"/>
        <v>#VALUE!</v>
      </c>
    </row>
    <row r="93" spans="1:26" x14ac:dyDescent="0.25">
      <c r="A93" s="293"/>
      <c r="B93" s="293"/>
      <c r="C93" s="257"/>
      <c r="D93" s="257">
        <v>150</v>
      </c>
      <c r="E93" s="257">
        <f t="shared" si="22"/>
        <v>-0.79903810567665801</v>
      </c>
      <c r="F93" s="257">
        <f t="shared" si="23"/>
        <v>1.3604751314067105</v>
      </c>
      <c r="G93" s="259">
        <f t="shared" si="20"/>
        <v>-2.1595132370833685</v>
      </c>
      <c r="H93" s="257"/>
      <c r="I93" s="257"/>
      <c r="J93" s="257">
        <v>150</v>
      </c>
      <c r="K93" s="257">
        <f t="shared" si="24"/>
        <v>-3.6650635094610968</v>
      </c>
      <c r="L93" s="257">
        <f t="shared" si="13"/>
        <v>1.3604751314067105</v>
      </c>
      <c r="M93" s="257">
        <f t="shared" si="14"/>
        <v>-5.0255386408678078</v>
      </c>
      <c r="N93" s="257"/>
      <c r="O93" s="293"/>
      <c r="P93" s="257"/>
      <c r="Q93" s="257">
        <v>150</v>
      </c>
      <c r="R93" s="257">
        <f t="shared" si="25"/>
        <v>0</v>
      </c>
      <c r="S93" s="257" t="e">
        <f t="shared" si="26"/>
        <v>#VALUE!</v>
      </c>
      <c r="T93" s="257" t="e">
        <f t="shared" si="16"/>
        <v>#VALUE!</v>
      </c>
      <c r="U93" s="293"/>
      <c r="V93" s="257"/>
      <c r="W93" s="257">
        <v>150</v>
      </c>
      <c r="X93" s="257">
        <f t="shared" si="27"/>
        <v>0</v>
      </c>
      <c r="Y93" s="257" t="e">
        <f t="shared" si="28"/>
        <v>#VALUE!</v>
      </c>
      <c r="Z93" s="259" t="e">
        <f t="shared" si="19"/>
        <v>#VALUE!</v>
      </c>
    </row>
    <row r="94" spans="1:26" x14ac:dyDescent="0.25">
      <c r="A94" s="293"/>
      <c r="B94" s="293"/>
      <c r="C94" s="257"/>
      <c r="D94" s="257">
        <v>155</v>
      </c>
      <c r="E94" s="257">
        <f t="shared" si="22"/>
        <v>-0.85946168055497485</v>
      </c>
      <c r="F94" s="257">
        <f t="shared" si="23"/>
        <v>1.279638042215097</v>
      </c>
      <c r="G94" s="259">
        <f t="shared" si="20"/>
        <v>-2.1390997227700721</v>
      </c>
      <c r="H94" s="257"/>
      <c r="I94" s="257"/>
      <c r="J94" s="257">
        <v>155</v>
      </c>
      <c r="K94" s="257">
        <f t="shared" si="24"/>
        <v>-3.7657694675916247</v>
      </c>
      <c r="L94" s="257">
        <f t="shared" si="13"/>
        <v>1.279638042215097</v>
      </c>
      <c r="M94" s="257">
        <f t="shared" si="14"/>
        <v>-5.0454075098067221</v>
      </c>
      <c r="N94" s="257"/>
      <c r="O94" s="293"/>
      <c r="P94" s="257"/>
      <c r="Q94" s="257">
        <v>155</v>
      </c>
      <c r="R94" s="257">
        <f t="shared" si="25"/>
        <v>0</v>
      </c>
      <c r="S94" s="257" t="e">
        <f t="shared" si="26"/>
        <v>#VALUE!</v>
      </c>
      <c r="T94" s="257" t="e">
        <f t="shared" si="16"/>
        <v>#VALUE!</v>
      </c>
      <c r="U94" s="293"/>
      <c r="V94" s="257"/>
      <c r="W94" s="257">
        <v>155</v>
      </c>
      <c r="X94" s="257">
        <f t="shared" si="27"/>
        <v>0</v>
      </c>
      <c r="Y94" s="257" t="e">
        <f t="shared" si="28"/>
        <v>#VALUE!</v>
      </c>
      <c r="Z94" s="259" t="e">
        <f t="shared" si="19"/>
        <v>#VALUE!</v>
      </c>
    </row>
    <row r="95" spans="1:26" x14ac:dyDescent="0.25">
      <c r="A95" s="293"/>
      <c r="B95" s="293"/>
      <c r="C95" s="257"/>
      <c r="D95" s="257">
        <v>160</v>
      </c>
      <c r="E95" s="257">
        <f t="shared" si="22"/>
        <v>-0.90953893117886242</v>
      </c>
      <c r="F95" s="257">
        <f t="shared" si="23"/>
        <v>1.1954409508398718</v>
      </c>
      <c r="G95" s="259">
        <f t="shared" si="20"/>
        <v>-2.1049798820187342</v>
      </c>
      <c r="H95" s="257"/>
      <c r="I95" s="257"/>
      <c r="J95" s="257">
        <v>160</v>
      </c>
      <c r="K95" s="257">
        <f t="shared" si="24"/>
        <v>-3.8492315519647708</v>
      </c>
      <c r="L95" s="257">
        <f t="shared" si="13"/>
        <v>1.1954409508398718</v>
      </c>
      <c r="M95" s="257">
        <f t="shared" si="14"/>
        <v>-5.0446725028046426</v>
      </c>
      <c r="N95" s="257"/>
      <c r="O95" s="293"/>
      <c r="P95" s="257"/>
      <c r="Q95" s="257">
        <v>160</v>
      </c>
      <c r="R95" s="257">
        <f t="shared" si="25"/>
        <v>0</v>
      </c>
      <c r="S95" s="257" t="e">
        <f t="shared" si="26"/>
        <v>#VALUE!</v>
      </c>
      <c r="T95" s="257" t="e">
        <f t="shared" si="16"/>
        <v>#VALUE!</v>
      </c>
      <c r="U95" s="293"/>
      <c r="V95" s="257"/>
      <c r="W95" s="257">
        <v>160</v>
      </c>
      <c r="X95" s="257">
        <f t="shared" si="27"/>
        <v>0</v>
      </c>
      <c r="Y95" s="257" t="e">
        <f t="shared" si="28"/>
        <v>#VALUE!</v>
      </c>
      <c r="Z95" s="259" t="e">
        <f t="shared" si="19"/>
        <v>#VALUE!</v>
      </c>
    </row>
    <row r="96" spans="1:26" x14ac:dyDescent="0.25">
      <c r="A96" s="293"/>
      <c r="B96" s="293"/>
      <c r="C96" s="257"/>
      <c r="D96" s="257">
        <v>165</v>
      </c>
      <c r="E96" s="257">
        <f t="shared" si="22"/>
        <v>-0.9488887394336023</v>
      </c>
      <c r="F96" s="257">
        <f t="shared" si="23"/>
        <v>1.1085246479859947</v>
      </c>
      <c r="G96" s="259">
        <f t="shared" si="20"/>
        <v>-2.0574133874195972</v>
      </c>
      <c r="H96" s="257"/>
      <c r="I96" s="257"/>
      <c r="J96" s="257">
        <v>165</v>
      </c>
      <c r="K96" s="257">
        <f t="shared" si="24"/>
        <v>-3.9148145657226703</v>
      </c>
      <c r="L96" s="257">
        <f t="shared" si="13"/>
        <v>1.1085246479859947</v>
      </c>
      <c r="M96" s="257">
        <f t="shared" si="14"/>
        <v>-5.023339213708665</v>
      </c>
      <c r="N96" s="257"/>
      <c r="O96" s="293"/>
      <c r="P96" s="257"/>
      <c r="Q96" s="257">
        <v>165</v>
      </c>
      <c r="R96" s="257">
        <f t="shared" si="25"/>
        <v>0</v>
      </c>
      <c r="S96" s="257" t="e">
        <f t="shared" si="26"/>
        <v>#VALUE!</v>
      </c>
      <c r="T96" s="257" t="e">
        <f t="shared" si="16"/>
        <v>#VALUE!</v>
      </c>
      <c r="U96" s="293"/>
      <c r="V96" s="257"/>
      <c r="W96" s="257">
        <v>165</v>
      </c>
      <c r="X96" s="257">
        <f t="shared" si="27"/>
        <v>0</v>
      </c>
      <c r="Y96" s="257" t="e">
        <f t="shared" si="28"/>
        <v>#VALUE!</v>
      </c>
      <c r="Z96" s="259" t="e">
        <f t="shared" si="19"/>
        <v>#VALUE!</v>
      </c>
    </row>
    <row r="97" spans="1:26" x14ac:dyDescent="0.25">
      <c r="A97" s="293"/>
      <c r="B97" s="293"/>
      <c r="C97" s="257"/>
      <c r="D97" s="257">
        <v>170</v>
      </c>
      <c r="E97" s="257">
        <f t="shared" si="22"/>
        <v>-0.97721162951831197</v>
      </c>
      <c r="F97" s="257">
        <f t="shared" si="23"/>
        <v>1.0195506191996817</v>
      </c>
      <c r="G97" s="259">
        <f t="shared" si="20"/>
        <v>-1.9967622487179937</v>
      </c>
      <c r="H97" s="257"/>
      <c r="I97" s="257"/>
      <c r="J97" s="257">
        <v>170</v>
      </c>
      <c r="K97" s="257">
        <f t="shared" si="24"/>
        <v>-3.9620193825305199</v>
      </c>
      <c r="L97" s="257">
        <f t="shared" si="13"/>
        <v>1.0195506191996817</v>
      </c>
      <c r="M97" s="257">
        <f t="shared" si="14"/>
        <v>-4.9815700017302014</v>
      </c>
      <c r="N97" s="257"/>
      <c r="O97" s="293"/>
      <c r="P97" s="257"/>
      <c r="Q97" s="257">
        <v>170</v>
      </c>
      <c r="R97" s="257">
        <f t="shared" si="25"/>
        <v>0</v>
      </c>
      <c r="S97" s="257" t="e">
        <f t="shared" si="26"/>
        <v>#VALUE!</v>
      </c>
      <c r="T97" s="257" t="e">
        <f t="shared" si="16"/>
        <v>#VALUE!</v>
      </c>
      <c r="U97" s="293"/>
      <c r="V97" s="257"/>
      <c r="W97" s="257">
        <v>170</v>
      </c>
      <c r="X97" s="257">
        <f t="shared" si="27"/>
        <v>0</v>
      </c>
      <c r="Y97" s="257" t="e">
        <f t="shared" si="28"/>
        <v>#VALUE!</v>
      </c>
      <c r="Z97" s="259" t="e">
        <f t="shared" si="19"/>
        <v>#VALUE!</v>
      </c>
    </row>
    <row r="98" spans="1:26" ht="15.75" thickBot="1" x14ac:dyDescent="0.3">
      <c r="A98" s="293"/>
      <c r="B98" s="293"/>
      <c r="C98" s="257"/>
      <c r="D98" s="257">
        <v>175</v>
      </c>
      <c r="E98" s="257">
        <f t="shared" si="22"/>
        <v>-0.99429204713761843</v>
      </c>
      <c r="F98" s="257">
        <f t="shared" si="23"/>
        <v>0.92919601056398504</v>
      </c>
      <c r="G98" s="263">
        <f t="shared" si="20"/>
        <v>-1.9234880577016034</v>
      </c>
      <c r="H98" s="257"/>
      <c r="I98" s="257"/>
      <c r="J98" s="257">
        <v>175</v>
      </c>
      <c r="K98" s="257">
        <f t="shared" si="24"/>
        <v>-3.9904867452293638</v>
      </c>
      <c r="L98" s="257">
        <f t="shared" si="13"/>
        <v>0.92919601056398504</v>
      </c>
      <c r="M98" s="262">
        <f t="shared" si="14"/>
        <v>-4.9196827557933487</v>
      </c>
      <c r="N98" s="257"/>
      <c r="O98" s="293"/>
      <c r="P98" s="257"/>
      <c r="Q98" s="257">
        <v>175</v>
      </c>
      <c r="R98" s="257">
        <f t="shared" si="25"/>
        <v>0</v>
      </c>
      <c r="S98" s="257" t="e">
        <f t="shared" si="26"/>
        <v>#VALUE!</v>
      </c>
      <c r="T98" s="262" t="e">
        <f t="shared" si="16"/>
        <v>#VALUE!</v>
      </c>
      <c r="U98" s="293"/>
      <c r="V98" s="257"/>
      <c r="W98" s="257">
        <v>175</v>
      </c>
      <c r="X98" s="257">
        <f t="shared" si="27"/>
        <v>0</v>
      </c>
      <c r="Y98" s="257" t="e">
        <f t="shared" si="28"/>
        <v>#VALUE!</v>
      </c>
      <c r="Z98" s="263" t="e">
        <f t="shared" si="19"/>
        <v>#VALUE!</v>
      </c>
    </row>
    <row r="99" spans="1:26" x14ac:dyDescent="0.25">
      <c r="A99" s="267" t="s">
        <v>248</v>
      </c>
      <c r="B99" s="294">
        <f>B81</f>
        <v>1.5</v>
      </c>
      <c r="C99" s="296">
        <f>D55-G55</f>
        <v>1.0446533123969708</v>
      </c>
      <c r="D99" s="268">
        <v>180</v>
      </c>
      <c r="E99" s="268">
        <f t="shared" ref="E99:E116" si="29">B$99*COS(D99*PI()/180)+$K$55</f>
        <v>-1</v>
      </c>
      <c r="F99" s="268">
        <f t="shared" ref="F99:F116" si="30">C$99*SIN(D99*PI()/180)+$D$55</f>
        <v>0.83814847520822533</v>
      </c>
      <c r="G99" s="259">
        <f t="shared" si="20"/>
        <v>-1.8381484752082253</v>
      </c>
      <c r="H99" s="295">
        <f>H81</f>
        <v>2.5</v>
      </c>
      <c r="I99" s="296">
        <f>D56-G56</f>
        <v>1.0446533123969708</v>
      </c>
      <c r="J99" s="268">
        <v>180</v>
      </c>
      <c r="K99" s="268">
        <f t="shared" ref="K99:K116" si="31">H$99*COS(J99*PI()/180)+$K$56</f>
        <v>-4</v>
      </c>
      <c r="L99" s="268">
        <f t="shared" si="13"/>
        <v>0.83814847520822533</v>
      </c>
      <c r="M99" s="257">
        <f t="shared" si="14"/>
        <v>-4.8381484752082251</v>
      </c>
      <c r="N99" s="268"/>
      <c r="O99" s="294">
        <f>O81</f>
        <v>0</v>
      </c>
      <c r="P99" s="296" t="e">
        <f>D57-G57</f>
        <v>#VALUE!</v>
      </c>
      <c r="Q99" s="268">
        <v>180</v>
      </c>
      <c r="R99" s="268">
        <f>O$99*COS(Q99*PI()/180)+$K$57</f>
        <v>0</v>
      </c>
      <c r="S99" s="268" t="e">
        <f>P$99*SIN(Q99*PI()/180)+$D$57</f>
        <v>#VALUE!</v>
      </c>
      <c r="T99" s="257" t="e">
        <f t="shared" si="16"/>
        <v>#VALUE!</v>
      </c>
      <c r="U99" s="294">
        <f>U81</f>
        <v>0</v>
      </c>
      <c r="V99" s="296" t="e">
        <f>D58-G58</f>
        <v>#VALUE!</v>
      </c>
      <c r="W99" s="268">
        <v>180</v>
      </c>
      <c r="X99" s="268">
        <f>U$99*COS(W99*PI()/180)+$K$58</f>
        <v>0</v>
      </c>
      <c r="Y99" s="268" t="e">
        <f>V$99*SIN(W99*PI()/180)+$D$58</f>
        <v>#VALUE!</v>
      </c>
      <c r="Z99" s="259" t="e">
        <f t="shared" si="19"/>
        <v>#VALUE!</v>
      </c>
    </row>
    <row r="100" spans="1:26" x14ac:dyDescent="0.25">
      <c r="A100" s="293"/>
      <c r="B100" s="293"/>
      <c r="C100" s="257"/>
      <c r="D100" s="257">
        <v>185</v>
      </c>
      <c r="E100" s="257">
        <f t="shared" si="29"/>
        <v>-0.99429204713761843</v>
      </c>
      <c r="F100" s="257">
        <f t="shared" si="30"/>
        <v>0.74710093985246606</v>
      </c>
      <c r="G100" s="259">
        <f t="shared" si="20"/>
        <v>-1.7413929869900846</v>
      </c>
      <c r="H100" s="257"/>
      <c r="I100" s="257"/>
      <c r="J100" s="257">
        <v>185</v>
      </c>
      <c r="K100" s="257">
        <f t="shared" si="31"/>
        <v>-3.9904867452293638</v>
      </c>
      <c r="L100" s="257">
        <f t="shared" si="13"/>
        <v>0.74710093985246606</v>
      </c>
      <c r="M100" s="257">
        <f t="shared" si="14"/>
        <v>-4.7375876850818299</v>
      </c>
      <c r="N100" s="257"/>
      <c r="O100" s="293"/>
      <c r="P100" s="257"/>
      <c r="Q100" s="257">
        <v>185</v>
      </c>
      <c r="R100" s="257">
        <f t="shared" ref="R100:R116" si="32">O$99*COS(Q100*PI()/180)+$K$57</f>
        <v>0</v>
      </c>
      <c r="S100" s="257" t="e">
        <f t="shared" ref="S100:S116" si="33">P$99*SIN(Q100*PI()/180)+$D$57</f>
        <v>#VALUE!</v>
      </c>
      <c r="T100" s="257" t="e">
        <f t="shared" si="16"/>
        <v>#VALUE!</v>
      </c>
      <c r="U100" s="293"/>
      <c r="V100" s="257"/>
      <c r="W100" s="257">
        <v>185</v>
      </c>
      <c r="X100" s="257">
        <f t="shared" ref="X100:X116" si="34">U$99*COS(W100*PI()/180)+$K$58</f>
        <v>0</v>
      </c>
      <c r="Y100" s="257" t="e">
        <f t="shared" ref="Y100:Y116" si="35">V$99*SIN(W100*PI()/180)+$D$58</f>
        <v>#VALUE!</v>
      </c>
      <c r="Z100" s="259" t="e">
        <f t="shared" si="19"/>
        <v>#VALUE!</v>
      </c>
    </row>
    <row r="101" spans="1:26" x14ac:dyDescent="0.25">
      <c r="A101" s="293"/>
      <c r="B101" s="293"/>
      <c r="C101" s="257"/>
      <c r="D101" s="257">
        <v>190</v>
      </c>
      <c r="E101" s="257">
        <f t="shared" si="29"/>
        <v>-0.97721162951831197</v>
      </c>
      <c r="F101" s="257">
        <f t="shared" si="30"/>
        <v>0.65674633121676862</v>
      </c>
      <c r="G101" s="259">
        <f t="shared" si="20"/>
        <v>-1.6339579607350805</v>
      </c>
      <c r="H101" s="257"/>
      <c r="I101" s="257"/>
      <c r="J101" s="257">
        <v>190</v>
      </c>
      <c r="K101" s="257">
        <f t="shared" si="31"/>
        <v>-3.9620193825305199</v>
      </c>
      <c r="L101" s="257">
        <f t="shared" si="13"/>
        <v>0.65674633121676862</v>
      </c>
      <c r="M101" s="257">
        <f t="shared" si="14"/>
        <v>-4.6187657137472886</v>
      </c>
      <c r="N101" s="257"/>
      <c r="O101" s="293"/>
      <c r="P101" s="257"/>
      <c r="Q101" s="257">
        <v>190</v>
      </c>
      <c r="R101" s="257">
        <f t="shared" si="32"/>
        <v>0</v>
      </c>
      <c r="S101" s="257" t="e">
        <f t="shared" si="33"/>
        <v>#VALUE!</v>
      </c>
      <c r="T101" s="257" t="e">
        <f t="shared" si="16"/>
        <v>#VALUE!</v>
      </c>
      <c r="U101" s="293"/>
      <c r="V101" s="257"/>
      <c r="W101" s="257">
        <v>190</v>
      </c>
      <c r="X101" s="257">
        <f t="shared" si="34"/>
        <v>0</v>
      </c>
      <c r="Y101" s="257" t="e">
        <f t="shared" si="35"/>
        <v>#VALUE!</v>
      </c>
      <c r="Z101" s="259" t="e">
        <f t="shared" si="19"/>
        <v>#VALUE!</v>
      </c>
    </row>
    <row r="102" spans="1:26" x14ac:dyDescent="0.25">
      <c r="A102" s="293"/>
      <c r="B102" s="293"/>
      <c r="C102" s="257"/>
      <c r="D102" s="257">
        <v>195</v>
      </c>
      <c r="E102" s="257">
        <f t="shared" si="29"/>
        <v>-0.94888873943360252</v>
      </c>
      <c r="F102" s="257">
        <f t="shared" si="30"/>
        <v>0.5677723024304564</v>
      </c>
      <c r="G102" s="259">
        <f t="shared" si="20"/>
        <v>-1.5166610418640589</v>
      </c>
      <c r="H102" s="257"/>
      <c r="I102" s="257"/>
      <c r="J102" s="257">
        <v>195</v>
      </c>
      <c r="K102" s="257">
        <f t="shared" si="31"/>
        <v>-3.9148145657226712</v>
      </c>
      <c r="L102" s="257">
        <f t="shared" si="13"/>
        <v>0.5677723024304564</v>
      </c>
      <c r="M102" s="257">
        <f t="shared" si="14"/>
        <v>-4.4825868681531276</v>
      </c>
      <c r="N102" s="257"/>
      <c r="O102" s="293"/>
      <c r="P102" s="257"/>
      <c r="Q102" s="257">
        <v>195</v>
      </c>
      <c r="R102" s="257">
        <f t="shared" si="32"/>
        <v>0</v>
      </c>
      <c r="S102" s="257" t="e">
        <f t="shared" si="33"/>
        <v>#VALUE!</v>
      </c>
      <c r="T102" s="257" t="e">
        <f t="shared" si="16"/>
        <v>#VALUE!</v>
      </c>
      <c r="U102" s="293"/>
      <c r="V102" s="257"/>
      <c r="W102" s="257">
        <v>195</v>
      </c>
      <c r="X102" s="257">
        <f t="shared" si="34"/>
        <v>0</v>
      </c>
      <c r="Y102" s="257" t="e">
        <f t="shared" si="35"/>
        <v>#VALUE!</v>
      </c>
      <c r="Z102" s="259" t="e">
        <f t="shared" si="19"/>
        <v>#VALUE!</v>
      </c>
    </row>
    <row r="103" spans="1:26" x14ac:dyDescent="0.25">
      <c r="A103" s="293"/>
      <c r="B103" s="293"/>
      <c r="C103" s="257"/>
      <c r="D103" s="257">
        <v>200</v>
      </c>
      <c r="E103" s="257">
        <f t="shared" si="29"/>
        <v>-0.90953893117886264</v>
      </c>
      <c r="F103" s="257">
        <f t="shared" si="30"/>
        <v>0.48085599957657876</v>
      </c>
      <c r="G103" s="259">
        <f t="shared" si="20"/>
        <v>-1.3903949307554413</v>
      </c>
      <c r="H103" s="257"/>
      <c r="I103" s="257"/>
      <c r="J103" s="257">
        <v>200</v>
      </c>
      <c r="K103" s="257">
        <f t="shared" si="31"/>
        <v>-3.8492315519647713</v>
      </c>
      <c r="L103" s="257">
        <f t="shared" si="13"/>
        <v>0.48085599957657876</v>
      </c>
      <c r="M103" s="257">
        <f t="shared" si="14"/>
        <v>-4.3300875515413502</v>
      </c>
      <c r="N103" s="257"/>
      <c r="O103" s="293"/>
      <c r="P103" s="257"/>
      <c r="Q103" s="257">
        <v>200</v>
      </c>
      <c r="R103" s="257">
        <f t="shared" si="32"/>
        <v>0</v>
      </c>
      <c r="S103" s="257" t="e">
        <f t="shared" si="33"/>
        <v>#VALUE!</v>
      </c>
      <c r="T103" s="257" t="e">
        <f t="shared" si="16"/>
        <v>#VALUE!</v>
      </c>
      <c r="U103" s="293"/>
      <c r="V103" s="257"/>
      <c r="W103" s="257">
        <v>200</v>
      </c>
      <c r="X103" s="257">
        <f t="shared" si="34"/>
        <v>0</v>
      </c>
      <c r="Y103" s="257" t="e">
        <f t="shared" si="35"/>
        <v>#VALUE!</v>
      </c>
      <c r="Z103" s="259" t="e">
        <f t="shared" si="19"/>
        <v>#VALUE!</v>
      </c>
    </row>
    <row r="104" spans="1:26" x14ac:dyDescent="0.25">
      <c r="A104" s="293"/>
      <c r="B104" s="293"/>
      <c r="C104" s="257"/>
      <c r="D104" s="257">
        <v>205</v>
      </c>
      <c r="E104" s="257">
        <f t="shared" si="29"/>
        <v>-0.85946168055497507</v>
      </c>
      <c r="F104" s="257">
        <f t="shared" si="30"/>
        <v>0.39665890820135374</v>
      </c>
      <c r="G104" s="259">
        <f t="shared" si="20"/>
        <v>-1.2561205887563287</v>
      </c>
      <c r="H104" s="257"/>
      <c r="I104" s="257"/>
      <c r="J104" s="257">
        <v>205</v>
      </c>
      <c r="K104" s="257">
        <f t="shared" si="31"/>
        <v>-3.7657694675916251</v>
      </c>
      <c r="L104" s="257">
        <f t="shared" si="13"/>
        <v>0.39665890820135374</v>
      </c>
      <c r="M104" s="257">
        <f t="shared" si="14"/>
        <v>-4.1624283757929792</v>
      </c>
      <c r="N104" s="257"/>
      <c r="O104" s="293"/>
      <c r="P104" s="257"/>
      <c r="Q104" s="257">
        <v>205</v>
      </c>
      <c r="R104" s="257">
        <f t="shared" si="32"/>
        <v>0</v>
      </c>
      <c r="S104" s="257" t="e">
        <f t="shared" si="33"/>
        <v>#VALUE!</v>
      </c>
      <c r="T104" s="257" t="e">
        <f t="shared" si="16"/>
        <v>#VALUE!</v>
      </c>
      <c r="U104" s="293"/>
      <c r="V104" s="257"/>
      <c r="W104" s="257">
        <v>205</v>
      </c>
      <c r="X104" s="257">
        <f t="shared" si="34"/>
        <v>0</v>
      </c>
      <c r="Y104" s="257" t="e">
        <f t="shared" si="35"/>
        <v>#VALUE!</v>
      </c>
      <c r="Z104" s="259" t="e">
        <f t="shared" si="19"/>
        <v>#VALUE!</v>
      </c>
    </row>
    <row r="105" spans="1:26" x14ac:dyDescent="0.25">
      <c r="A105" s="293"/>
      <c r="B105" s="293"/>
      <c r="C105" s="257"/>
      <c r="D105" s="257">
        <v>210</v>
      </c>
      <c r="E105" s="257">
        <f t="shared" si="29"/>
        <v>-0.79903810567665801</v>
      </c>
      <c r="F105" s="257">
        <f t="shared" si="30"/>
        <v>0.31582181900973971</v>
      </c>
      <c r="G105" s="259">
        <f t="shared" si="20"/>
        <v>-1.1148599246863977</v>
      </c>
      <c r="H105" s="257"/>
      <c r="I105" s="257"/>
      <c r="J105" s="257">
        <v>210</v>
      </c>
      <c r="K105" s="257">
        <f t="shared" si="31"/>
        <v>-3.6650635094610964</v>
      </c>
      <c r="L105" s="257">
        <f t="shared" si="13"/>
        <v>0.31582181900973971</v>
      </c>
      <c r="M105" s="257">
        <f t="shared" si="14"/>
        <v>-3.9808853284708361</v>
      </c>
      <c r="N105" s="257"/>
      <c r="O105" s="293"/>
      <c r="P105" s="257"/>
      <c r="Q105" s="257">
        <v>210</v>
      </c>
      <c r="R105" s="257">
        <f t="shared" si="32"/>
        <v>0</v>
      </c>
      <c r="S105" s="257" t="e">
        <f t="shared" si="33"/>
        <v>#VALUE!</v>
      </c>
      <c r="T105" s="257" t="e">
        <f t="shared" si="16"/>
        <v>#VALUE!</v>
      </c>
      <c r="U105" s="293"/>
      <c r="V105" s="257"/>
      <c r="W105" s="257">
        <v>210</v>
      </c>
      <c r="X105" s="257">
        <f t="shared" si="34"/>
        <v>0</v>
      </c>
      <c r="Y105" s="257" t="e">
        <f t="shared" si="35"/>
        <v>#VALUE!</v>
      </c>
      <c r="Z105" s="259" t="e">
        <f t="shared" si="19"/>
        <v>#VALUE!</v>
      </c>
    </row>
    <row r="106" spans="1:26" x14ac:dyDescent="0.25">
      <c r="A106" s="293"/>
      <c r="B106" s="293"/>
      <c r="C106" s="257"/>
      <c r="D106" s="257">
        <v>215</v>
      </c>
      <c r="E106" s="257">
        <f t="shared" si="29"/>
        <v>-0.72872806643348809</v>
      </c>
      <c r="F106" s="257">
        <f t="shared" si="30"/>
        <v>0.23895995106125489</v>
      </c>
      <c r="G106" s="259">
        <f t="shared" si="20"/>
        <v>-0.96768801749474298</v>
      </c>
      <c r="H106" s="257"/>
      <c r="I106" s="257"/>
      <c r="J106" s="257">
        <v>215</v>
      </c>
      <c r="K106" s="257">
        <f t="shared" si="31"/>
        <v>-3.5478801107224802</v>
      </c>
      <c r="L106" s="257">
        <f t="shared" si="13"/>
        <v>0.23895995106125489</v>
      </c>
      <c r="M106" s="257">
        <f t="shared" si="14"/>
        <v>-3.7868400617837352</v>
      </c>
      <c r="N106" s="257"/>
      <c r="O106" s="293"/>
      <c r="P106" s="257"/>
      <c r="Q106" s="257">
        <v>215</v>
      </c>
      <c r="R106" s="257">
        <f t="shared" si="32"/>
        <v>0</v>
      </c>
      <c r="S106" s="257" t="e">
        <f t="shared" si="33"/>
        <v>#VALUE!</v>
      </c>
      <c r="T106" s="257" t="e">
        <f t="shared" si="16"/>
        <v>#VALUE!</v>
      </c>
      <c r="U106" s="293"/>
      <c r="V106" s="257"/>
      <c r="W106" s="257">
        <v>215</v>
      </c>
      <c r="X106" s="257">
        <f t="shared" si="34"/>
        <v>0</v>
      </c>
      <c r="Y106" s="257" t="e">
        <f t="shared" si="35"/>
        <v>#VALUE!</v>
      </c>
      <c r="Z106" s="259" t="e">
        <f t="shared" si="19"/>
        <v>#VALUE!</v>
      </c>
    </row>
    <row r="107" spans="1:26" x14ac:dyDescent="0.25">
      <c r="A107" s="293"/>
      <c r="B107" s="293"/>
      <c r="C107" s="257"/>
      <c r="D107" s="257">
        <v>220</v>
      </c>
      <c r="E107" s="257">
        <f t="shared" si="29"/>
        <v>-0.64906666467846708</v>
      </c>
      <c r="F107" s="257">
        <f t="shared" si="30"/>
        <v>0.1666582695814508</v>
      </c>
      <c r="G107" s="259">
        <f t="shared" si="20"/>
        <v>-0.81572493425991788</v>
      </c>
      <c r="H107" s="257"/>
      <c r="I107" s="257"/>
      <c r="J107" s="257">
        <v>220</v>
      </c>
      <c r="K107" s="257">
        <f t="shared" si="31"/>
        <v>-3.4151111077974452</v>
      </c>
      <c r="L107" s="257">
        <f t="shared" si="13"/>
        <v>0.1666582695814508</v>
      </c>
      <c r="M107" s="257">
        <f t="shared" si="14"/>
        <v>-3.5817693773788961</v>
      </c>
      <c r="N107" s="257"/>
      <c r="O107" s="293"/>
      <c r="P107" s="257"/>
      <c r="Q107" s="257">
        <v>220</v>
      </c>
      <c r="R107" s="257">
        <f t="shared" si="32"/>
        <v>0</v>
      </c>
      <c r="S107" s="257" t="e">
        <f t="shared" si="33"/>
        <v>#VALUE!</v>
      </c>
      <c r="T107" s="257" t="e">
        <f t="shared" si="16"/>
        <v>#VALUE!</v>
      </c>
      <c r="U107" s="293"/>
      <c r="V107" s="257"/>
      <c r="W107" s="257">
        <v>220</v>
      </c>
      <c r="X107" s="257">
        <f t="shared" si="34"/>
        <v>0</v>
      </c>
      <c r="Y107" s="257" t="e">
        <f t="shared" si="35"/>
        <v>#VALUE!</v>
      </c>
      <c r="Z107" s="259" t="e">
        <f t="shared" si="19"/>
        <v>#VALUE!</v>
      </c>
    </row>
    <row r="108" spans="1:26" x14ac:dyDescent="0.25">
      <c r="A108" s="293"/>
      <c r="B108" s="293"/>
      <c r="C108" s="257"/>
      <c r="D108" s="257">
        <v>225</v>
      </c>
      <c r="E108" s="257">
        <f t="shared" si="29"/>
        <v>-0.56066017177982141</v>
      </c>
      <c r="F108" s="257">
        <f t="shared" si="30"/>
        <v>9.9467034023338341E-2</v>
      </c>
      <c r="G108" s="259">
        <f t="shared" si="20"/>
        <v>-0.66012720580315976</v>
      </c>
      <c r="H108" s="257"/>
      <c r="I108" s="257"/>
      <c r="J108" s="257">
        <v>225</v>
      </c>
      <c r="K108" s="257">
        <f t="shared" si="31"/>
        <v>-3.2677669529663693</v>
      </c>
      <c r="L108" s="257">
        <f t="shared" si="13"/>
        <v>9.9467034023338341E-2</v>
      </c>
      <c r="M108" s="257">
        <f t="shared" si="14"/>
        <v>-3.3672339869897074</v>
      </c>
      <c r="N108" s="257"/>
      <c r="O108" s="293"/>
      <c r="P108" s="257"/>
      <c r="Q108" s="257">
        <v>225</v>
      </c>
      <c r="R108" s="257">
        <f t="shared" si="32"/>
        <v>0</v>
      </c>
      <c r="S108" s="257" t="e">
        <f t="shared" si="33"/>
        <v>#VALUE!</v>
      </c>
      <c r="T108" s="257" t="e">
        <f t="shared" si="16"/>
        <v>#VALUE!</v>
      </c>
      <c r="U108" s="293"/>
      <c r="V108" s="257"/>
      <c r="W108" s="257">
        <v>225</v>
      </c>
      <c r="X108" s="257">
        <f t="shared" si="34"/>
        <v>0</v>
      </c>
      <c r="Y108" s="257" t="e">
        <f t="shared" si="35"/>
        <v>#VALUE!</v>
      </c>
      <c r="Z108" s="259" t="e">
        <f t="shared" si="19"/>
        <v>#VALUE!</v>
      </c>
    </row>
    <row r="109" spans="1:26" x14ac:dyDescent="0.25">
      <c r="A109" s="293"/>
      <c r="B109" s="293"/>
      <c r="C109" s="257"/>
      <c r="D109" s="257">
        <v>230</v>
      </c>
      <c r="E109" s="257">
        <f t="shared" si="29"/>
        <v>-0.46418141452980921</v>
      </c>
      <c r="F109" s="257">
        <f t="shared" si="30"/>
        <v>3.789761026069205E-2</v>
      </c>
      <c r="G109" s="259">
        <f t="shared" si="20"/>
        <v>-0.50207902479050126</v>
      </c>
      <c r="H109" s="257"/>
      <c r="I109" s="257"/>
      <c r="J109" s="257">
        <v>230</v>
      </c>
      <c r="K109" s="257">
        <f t="shared" si="31"/>
        <v>-3.1069690242163488</v>
      </c>
      <c r="L109" s="257">
        <f t="shared" si="13"/>
        <v>3.789761026069205E-2</v>
      </c>
      <c r="M109" s="257">
        <f t="shared" si="14"/>
        <v>-3.1448666344770411</v>
      </c>
      <c r="N109" s="257"/>
      <c r="O109" s="293"/>
      <c r="P109" s="257"/>
      <c r="Q109" s="257">
        <v>230</v>
      </c>
      <c r="R109" s="257">
        <f t="shared" si="32"/>
        <v>0</v>
      </c>
      <c r="S109" s="257" t="e">
        <f t="shared" si="33"/>
        <v>#VALUE!</v>
      </c>
      <c r="T109" s="257" t="e">
        <f t="shared" si="16"/>
        <v>#VALUE!</v>
      </c>
      <c r="U109" s="293"/>
      <c r="V109" s="257"/>
      <c r="W109" s="257">
        <v>230</v>
      </c>
      <c r="X109" s="257">
        <f t="shared" si="34"/>
        <v>0</v>
      </c>
      <c r="Y109" s="257" t="e">
        <f t="shared" si="35"/>
        <v>#VALUE!</v>
      </c>
      <c r="Z109" s="259" t="e">
        <f t="shared" si="19"/>
        <v>#VALUE!</v>
      </c>
    </row>
    <row r="110" spans="1:26" x14ac:dyDescent="0.25">
      <c r="A110" s="293"/>
      <c r="B110" s="293"/>
      <c r="C110" s="257"/>
      <c r="D110" s="257">
        <v>235</v>
      </c>
      <c r="E110" s="257">
        <f t="shared" si="29"/>
        <v>-0.36036465452656952</v>
      </c>
      <c r="F110" s="257">
        <f t="shared" si="30"/>
        <v>-1.7581421215019932E-2</v>
      </c>
      <c r="G110" s="259">
        <f t="shared" si="20"/>
        <v>-0.34278323331154958</v>
      </c>
      <c r="H110" s="257"/>
      <c r="I110" s="257"/>
      <c r="J110" s="257">
        <v>235</v>
      </c>
      <c r="K110" s="257">
        <f t="shared" si="31"/>
        <v>-2.933941090877616</v>
      </c>
      <c r="L110" s="257">
        <f t="shared" si="13"/>
        <v>-1.7581421215019932E-2</v>
      </c>
      <c r="M110" s="257">
        <f t="shared" si="14"/>
        <v>-2.916359669662596</v>
      </c>
      <c r="N110" s="257"/>
      <c r="O110" s="293"/>
      <c r="P110" s="257"/>
      <c r="Q110" s="257">
        <v>235</v>
      </c>
      <c r="R110" s="257">
        <f t="shared" si="32"/>
        <v>0</v>
      </c>
      <c r="S110" s="257" t="e">
        <f t="shared" si="33"/>
        <v>#VALUE!</v>
      </c>
      <c r="T110" s="257" t="e">
        <f t="shared" si="16"/>
        <v>#VALUE!</v>
      </c>
      <c r="U110" s="293"/>
      <c r="V110" s="257"/>
      <c r="W110" s="257">
        <v>235</v>
      </c>
      <c r="X110" s="257">
        <f t="shared" si="34"/>
        <v>0</v>
      </c>
      <c r="Y110" s="257" t="e">
        <f t="shared" si="35"/>
        <v>#VALUE!</v>
      </c>
      <c r="Z110" s="259" t="e">
        <f t="shared" si="19"/>
        <v>#VALUE!</v>
      </c>
    </row>
    <row r="111" spans="1:26" x14ac:dyDescent="0.25">
      <c r="A111" s="293"/>
      <c r="B111" s="293"/>
      <c r="C111" s="257"/>
      <c r="D111" s="257">
        <v>240</v>
      </c>
      <c r="E111" s="257">
        <f t="shared" si="29"/>
        <v>-0.25000000000000067</v>
      </c>
      <c r="F111" s="257">
        <f t="shared" si="30"/>
        <v>-6.6547831475112451E-2</v>
      </c>
      <c r="G111" s="259">
        <f t="shared" si="20"/>
        <v>-0.18345216852488822</v>
      </c>
      <c r="H111" s="257"/>
      <c r="I111" s="257"/>
      <c r="J111" s="257">
        <v>240</v>
      </c>
      <c r="K111" s="257">
        <f t="shared" si="31"/>
        <v>-2.7500000000000009</v>
      </c>
      <c r="L111" s="257">
        <f t="shared" si="13"/>
        <v>-6.6547831475112451E-2</v>
      </c>
      <c r="M111" s="257">
        <f t="shared" si="14"/>
        <v>-2.6834521685248882</v>
      </c>
      <c r="N111" s="257"/>
      <c r="O111" s="293"/>
      <c r="P111" s="257"/>
      <c r="Q111" s="257">
        <v>240</v>
      </c>
      <c r="R111" s="257">
        <f t="shared" si="32"/>
        <v>0</v>
      </c>
      <c r="S111" s="257" t="e">
        <f t="shared" si="33"/>
        <v>#VALUE!</v>
      </c>
      <c r="T111" s="257" t="e">
        <f t="shared" si="16"/>
        <v>#VALUE!</v>
      </c>
      <c r="U111" s="293"/>
      <c r="V111" s="257"/>
      <c r="W111" s="257">
        <v>240</v>
      </c>
      <c r="X111" s="257">
        <f t="shared" si="34"/>
        <v>0</v>
      </c>
      <c r="Y111" s="257" t="e">
        <f t="shared" si="35"/>
        <v>#VALUE!</v>
      </c>
      <c r="Z111" s="259" t="e">
        <f t="shared" si="19"/>
        <v>#VALUE!</v>
      </c>
    </row>
    <row r="112" spans="1:26" x14ac:dyDescent="0.25">
      <c r="A112" s="293"/>
      <c r="B112" s="293"/>
      <c r="C112" s="257"/>
      <c r="D112" s="257">
        <v>245</v>
      </c>
      <c r="E112" s="257">
        <f t="shared" si="29"/>
        <v>-0.13392739261104991</v>
      </c>
      <c r="F112" s="257">
        <f t="shared" si="30"/>
        <v>-0.10862895657077931</v>
      </c>
      <c r="G112" s="259">
        <f t="shared" si="20"/>
        <v>-2.52984360402706E-2</v>
      </c>
      <c r="H112" s="257"/>
      <c r="I112" s="257"/>
      <c r="J112" s="257">
        <v>245</v>
      </c>
      <c r="K112" s="257">
        <f t="shared" si="31"/>
        <v>-2.55654565435175</v>
      </c>
      <c r="L112" s="257">
        <f t="shared" si="13"/>
        <v>-0.10862895657077931</v>
      </c>
      <c r="M112" s="257">
        <f t="shared" si="14"/>
        <v>-2.4479166977809705</v>
      </c>
      <c r="N112" s="257"/>
      <c r="O112" s="293"/>
      <c r="P112" s="257"/>
      <c r="Q112" s="257">
        <v>245</v>
      </c>
      <c r="R112" s="257">
        <f t="shared" si="32"/>
        <v>0</v>
      </c>
      <c r="S112" s="257" t="e">
        <f t="shared" si="33"/>
        <v>#VALUE!</v>
      </c>
      <c r="T112" s="257" t="e">
        <f t="shared" si="16"/>
        <v>#VALUE!</v>
      </c>
      <c r="U112" s="293"/>
      <c r="V112" s="257"/>
      <c r="W112" s="257">
        <v>245</v>
      </c>
      <c r="X112" s="257">
        <f t="shared" si="34"/>
        <v>0</v>
      </c>
      <c r="Y112" s="257" t="e">
        <f t="shared" si="35"/>
        <v>#VALUE!</v>
      </c>
      <c r="Z112" s="259" t="e">
        <f t="shared" si="19"/>
        <v>#VALUE!</v>
      </c>
    </row>
    <row r="113" spans="1:26" x14ac:dyDescent="0.25">
      <c r="A113" s="293"/>
      <c r="B113" s="293"/>
      <c r="C113" s="257"/>
      <c r="D113" s="257">
        <v>250</v>
      </c>
      <c r="E113" s="257">
        <f t="shared" si="29"/>
        <v>-1.3030214988504096E-2</v>
      </c>
      <c r="F113" s="257">
        <f t="shared" si="30"/>
        <v>-0.14350453373076433</v>
      </c>
      <c r="G113" s="259">
        <f t="shared" si="20"/>
        <v>0.13047431874226023</v>
      </c>
      <c r="H113" s="257"/>
      <c r="I113" s="257"/>
      <c r="J113" s="257">
        <v>250</v>
      </c>
      <c r="K113" s="257">
        <f t="shared" si="31"/>
        <v>-2.3550503583141733</v>
      </c>
      <c r="L113" s="257">
        <f t="shared" si="13"/>
        <v>-0.14350453373076433</v>
      </c>
      <c r="M113" s="257">
        <f t="shared" si="14"/>
        <v>-2.2115458245834088</v>
      </c>
      <c r="N113" s="257"/>
      <c r="O113" s="293"/>
      <c r="P113" s="257"/>
      <c r="Q113" s="257">
        <v>250</v>
      </c>
      <c r="R113" s="257">
        <f t="shared" si="32"/>
        <v>0</v>
      </c>
      <c r="S113" s="257" t="e">
        <f t="shared" si="33"/>
        <v>#VALUE!</v>
      </c>
      <c r="T113" s="257" t="e">
        <f t="shared" si="16"/>
        <v>#VALUE!</v>
      </c>
      <c r="U113" s="293"/>
      <c r="V113" s="257"/>
      <c r="W113" s="257">
        <v>250</v>
      </c>
      <c r="X113" s="257">
        <f t="shared" si="34"/>
        <v>0</v>
      </c>
      <c r="Y113" s="257" t="e">
        <f t="shared" si="35"/>
        <v>#VALUE!</v>
      </c>
      <c r="Z113" s="259" t="e">
        <f t="shared" si="19"/>
        <v>#VALUE!</v>
      </c>
    </row>
    <row r="114" spans="1:26" x14ac:dyDescent="0.25">
      <c r="A114" s="293"/>
      <c r="B114" s="293"/>
      <c r="C114" s="257"/>
      <c r="D114" s="257">
        <v>255</v>
      </c>
      <c r="E114" s="257">
        <f t="shared" si="29"/>
        <v>0.11177143234621906</v>
      </c>
      <c r="F114" s="257">
        <f t="shared" si="30"/>
        <v>-0.17090913875443092</v>
      </c>
      <c r="G114" s="259">
        <f t="shared" si="20"/>
        <v>0.28268057110064998</v>
      </c>
      <c r="H114" s="257"/>
      <c r="I114" s="257"/>
      <c r="J114" s="257">
        <v>255</v>
      </c>
      <c r="K114" s="257">
        <f t="shared" si="31"/>
        <v>-2.1470476127563014</v>
      </c>
      <c r="L114" s="257">
        <f t="shared" si="13"/>
        <v>-0.17090913875443092</v>
      </c>
      <c r="M114" s="257">
        <f t="shared" si="14"/>
        <v>-1.9761384740018704</v>
      </c>
      <c r="N114" s="257"/>
      <c r="O114" s="293"/>
      <c r="P114" s="257"/>
      <c r="Q114" s="257">
        <v>255</v>
      </c>
      <c r="R114" s="257">
        <f t="shared" si="32"/>
        <v>0</v>
      </c>
      <c r="S114" s="257" t="e">
        <f t="shared" si="33"/>
        <v>#VALUE!</v>
      </c>
      <c r="T114" s="257" t="e">
        <f t="shared" si="16"/>
        <v>#VALUE!</v>
      </c>
      <c r="U114" s="293"/>
      <c r="V114" s="257"/>
      <c r="W114" s="257">
        <v>255</v>
      </c>
      <c r="X114" s="257">
        <f t="shared" si="34"/>
        <v>0</v>
      </c>
      <c r="Y114" s="257" t="e">
        <f t="shared" si="35"/>
        <v>#VALUE!</v>
      </c>
      <c r="Z114" s="259" t="e">
        <f t="shared" si="19"/>
        <v>#VALUE!</v>
      </c>
    </row>
    <row r="115" spans="1:26" x14ac:dyDescent="0.25">
      <c r="A115" s="293"/>
      <c r="B115" s="293"/>
      <c r="C115" s="257"/>
      <c r="D115" s="257">
        <v>260</v>
      </c>
      <c r="E115" s="257">
        <f t="shared" si="29"/>
        <v>0.23952773349960449</v>
      </c>
      <c r="F115" s="257">
        <f t="shared" si="30"/>
        <v>-0.19063420605019588</v>
      </c>
      <c r="G115" s="259">
        <f t="shared" si="20"/>
        <v>0.43016193954980037</v>
      </c>
      <c r="H115" s="257"/>
      <c r="I115" s="257"/>
      <c r="J115" s="257">
        <v>260</v>
      </c>
      <c r="K115" s="257">
        <f t="shared" si="31"/>
        <v>-1.9341204441673259</v>
      </c>
      <c r="L115" s="257">
        <f t="shared" si="13"/>
        <v>-0.19063420605019588</v>
      </c>
      <c r="M115" s="257">
        <f t="shared" si="14"/>
        <v>-1.7434862381171299</v>
      </c>
      <c r="N115" s="257"/>
      <c r="O115" s="293"/>
      <c r="P115" s="257"/>
      <c r="Q115" s="257">
        <v>260</v>
      </c>
      <c r="R115" s="257">
        <f t="shared" si="32"/>
        <v>0</v>
      </c>
      <c r="S115" s="257" t="e">
        <f t="shared" si="33"/>
        <v>#VALUE!</v>
      </c>
      <c r="T115" s="257" t="e">
        <f t="shared" si="16"/>
        <v>#VALUE!</v>
      </c>
      <c r="U115" s="293"/>
      <c r="V115" s="257"/>
      <c r="W115" s="257">
        <v>260</v>
      </c>
      <c r="X115" s="257">
        <f t="shared" si="34"/>
        <v>0</v>
      </c>
      <c r="Y115" s="257" t="e">
        <f t="shared" si="35"/>
        <v>#VALUE!</v>
      </c>
      <c r="Z115" s="259" t="e">
        <f t="shared" si="19"/>
        <v>#VALUE!</v>
      </c>
    </row>
    <row r="116" spans="1:26" ht="15.75" thickBot="1" x14ac:dyDescent="0.3">
      <c r="A116" s="293"/>
      <c r="B116" s="293"/>
      <c r="C116" s="257"/>
      <c r="D116" s="257">
        <v>265</v>
      </c>
      <c r="E116" s="257">
        <f t="shared" si="29"/>
        <v>0.36926638587851263</v>
      </c>
      <c r="F116" s="257">
        <f t="shared" si="30"/>
        <v>-0.20252961594561703</v>
      </c>
      <c r="G116" s="263">
        <f t="shared" si="20"/>
        <v>0.57179600182412971</v>
      </c>
      <c r="H116" s="257"/>
      <c r="I116" s="257"/>
      <c r="J116" s="257">
        <v>265</v>
      </c>
      <c r="K116" s="257">
        <f t="shared" si="31"/>
        <v>-1.7178893568691456</v>
      </c>
      <c r="L116" s="257">
        <f t="shared" si="13"/>
        <v>-0.20252961594561703</v>
      </c>
      <c r="M116" s="262">
        <f t="shared" si="14"/>
        <v>-1.5153597409235284</v>
      </c>
      <c r="N116" s="257"/>
      <c r="O116" s="293"/>
      <c r="P116" s="257"/>
      <c r="Q116" s="257">
        <v>265</v>
      </c>
      <c r="R116" s="257">
        <f t="shared" si="32"/>
        <v>0</v>
      </c>
      <c r="S116" s="257" t="e">
        <f t="shared" si="33"/>
        <v>#VALUE!</v>
      </c>
      <c r="T116" s="262" t="e">
        <f t="shared" si="16"/>
        <v>#VALUE!</v>
      </c>
      <c r="U116" s="293"/>
      <c r="V116" s="257"/>
      <c r="W116" s="257">
        <v>265</v>
      </c>
      <c r="X116" s="257">
        <f t="shared" si="34"/>
        <v>0</v>
      </c>
      <c r="Y116" s="257" t="e">
        <f t="shared" si="35"/>
        <v>#VALUE!</v>
      </c>
      <c r="Z116" s="263" t="e">
        <f t="shared" si="19"/>
        <v>#VALUE!</v>
      </c>
    </row>
    <row r="117" spans="1:26" x14ac:dyDescent="0.25">
      <c r="A117" s="267" t="s">
        <v>249</v>
      </c>
      <c r="B117" s="294">
        <f>B63</f>
        <v>1.5</v>
      </c>
      <c r="C117" s="296">
        <f>C99</f>
        <v>1.0446533123969708</v>
      </c>
      <c r="D117" s="268">
        <v>270</v>
      </c>
      <c r="E117" s="268">
        <f t="shared" ref="E117:E135" si="36">B$117*COS(D117*PI()/180)+$K$55</f>
        <v>0.49999999999999972</v>
      </c>
      <c r="F117" s="268">
        <f t="shared" ref="F117:F135" si="37">C$117*SIN(D117*PI()/180)+$D$55</f>
        <v>-0.20650483718874557</v>
      </c>
      <c r="G117" s="259">
        <f t="shared" si="20"/>
        <v>0.70650483718874524</v>
      </c>
      <c r="H117" s="295">
        <f>H63</f>
        <v>1.5</v>
      </c>
      <c r="I117" s="296">
        <f>I99</f>
        <v>1.0446533123969708</v>
      </c>
      <c r="J117" s="268">
        <v>270</v>
      </c>
      <c r="K117" s="268">
        <f t="shared" ref="K117:K135" si="38">H$117*COS(J117*PI()/180)+$K$56</f>
        <v>-1.5000000000000002</v>
      </c>
      <c r="L117" s="268">
        <f t="shared" si="13"/>
        <v>-0.20650483718874557</v>
      </c>
      <c r="M117" s="257">
        <f t="shared" si="14"/>
        <v>-1.2934951628112548</v>
      </c>
      <c r="N117" s="268"/>
      <c r="O117" s="294">
        <f>O63</f>
        <v>0</v>
      </c>
      <c r="P117" s="296" t="e">
        <f>P99</f>
        <v>#VALUE!</v>
      </c>
      <c r="Q117" s="268">
        <v>270</v>
      </c>
      <c r="R117" s="268">
        <f>O$117*COS(Q117*PI()/180)+$K$57</f>
        <v>0</v>
      </c>
      <c r="S117" s="268" t="e">
        <f>P$117*SIN(Q117*PI()/180)+$D$57</f>
        <v>#VALUE!</v>
      </c>
      <c r="T117" s="257" t="e">
        <f t="shared" si="16"/>
        <v>#VALUE!</v>
      </c>
      <c r="U117" s="294">
        <f>U63</f>
        <v>0</v>
      </c>
      <c r="V117" s="296" t="e">
        <f>V99</f>
        <v>#VALUE!</v>
      </c>
      <c r="W117" s="268">
        <v>270</v>
      </c>
      <c r="X117" s="268">
        <f>U$117*COS(W117*PI()/180)+$K$58</f>
        <v>0</v>
      </c>
      <c r="Y117" s="268" t="e">
        <f>V$117*SIN(W117*PI()/180)+$D$58</f>
        <v>#VALUE!</v>
      </c>
      <c r="Z117" s="259" t="e">
        <f t="shared" si="19"/>
        <v>#VALUE!</v>
      </c>
    </row>
    <row r="118" spans="1:26" x14ac:dyDescent="0.25">
      <c r="A118" s="293"/>
      <c r="B118" s="293"/>
      <c r="C118" s="257"/>
      <c r="D118" s="257">
        <v>275</v>
      </c>
      <c r="E118" s="257">
        <f t="shared" si="36"/>
        <v>0.63073361412148676</v>
      </c>
      <c r="F118" s="257">
        <f t="shared" si="37"/>
        <v>-0.20252961594561703</v>
      </c>
      <c r="G118" s="259">
        <f t="shared" si="20"/>
        <v>0.83326323006710379</v>
      </c>
      <c r="H118" s="257"/>
      <c r="I118" s="257"/>
      <c r="J118" s="257">
        <v>275</v>
      </c>
      <c r="K118" s="257">
        <f t="shared" si="38"/>
        <v>-1.3692663858785132</v>
      </c>
      <c r="L118" s="257">
        <f t="shared" si="13"/>
        <v>-0.20252961594561703</v>
      </c>
      <c r="M118" s="257">
        <f t="shared" si="14"/>
        <v>-1.1667367699328963</v>
      </c>
      <c r="N118" s="257"/>
      <c r="O118" s="293"/>
      <c r="P118" s="257"/>
      <c r="Q118" s="257">
        <v>275</v>
      </c>
      <c r="R118" s="257">
        <f t="shared" ref="R118:R135" si="39">O$117*COS(Q118*PI()/180)+$K$57</f>
        <v>0</v>
      </c>
      <c r="S118" s="257" t="e">
        <f t="shared" ref="S118:S135" si="40">P$117*SIN(Q118*PI()/180)+$D$57</f>
        <v>#VALUE!</v>
      </c>
      <c r="T118" s="257" t="e">
        <f t="shared" si="16"/>
        <v>#VALUE!</v>
      </c>
      <c r="U118" s="293"/>
      <c r="V118" s="257"/>
      <c r="W118" s="257">
        <v>275</v>
      </c>
      <c r="X118" s="257">
        <f t="shared" ref="X118:X135" si="41">U$117*COS(W118*PI()/180)+$K$58</f>
        <v>0</v>
      </c>
      <c r="Y118" s="257" t="e">
        <f t="shared" ref="Y118:Y135" si="42">V$117*SIN(W118*PI()/180)+$D$58</f>
        <v>#VALUE!</v>
      </c>
      <c r="Z118" s="259" t="e">
        <f t="shared" si="19"/>
        <v>#VALUE!</v>
      </c>
    </row>
    <row r="119" spans="1:26" x14ac:dyDescent="0.25">
      <c r="A119" s="293"/>
      <c r="B119" s="293"/>
      <c r="C119" s="257"/>
      <c r="D119" s="257">
        <v>280</v>
      </c>
      <c r="E119" s="257">
        <f t="shared" si="36"/>
        <v>0.7604722665003949</v>
      </c>
      <c r="F119" s="257">
        <f t="shared" si="37"/>
        <v>-0.19063420605019588</v>
      </c>
      <c r="G119" s="259">
        <f t="shared" si="20"/>
        <v>0.95110647255059078</v>
      </c>
      <c r="H119" s="257"/>
      <c r="I119" s="257"/>
      <c r="J119" s="257">
        <v>280</v>
      </c>
      <c r="K119" s="257">
        <f t="shared" si="38"/>
        <v>-1.2395277334996051</v>
      </c>
      <c r="L119" s="257">
        <f t="shared" si="13"/>
        <v>-0.19063420605019588</v>
      </c>
      <c r="M119" s="257">
        <f t="shared" si="14"/>
        <v>-1.0488935274494091</v>
      </c>
      <c r="N119" s="257"/>
      <c r="O119" s="293"/>
      <c r="P119" s="257"/>
      <c r="Q119" s="257">
        <v>280</v>
      </c>
      <c r="R119" s="257">
        <f t="shared" si="39"/>
        <v>0</v>
      </c>
      <c r="S119" s="257" t="e">
        <f t="shared" si="40"/>
        <v>#VALUE!</v>
      </c>
      <c r="T119" s="257" t="e">
        <f t="shared" si="16"/>
        <v>#VALUE!</v>
      </c>
      <c r="U119" s="293"/>
      <c r="V119" s="257"/>
      <c r="W119" s="257">
        <v>280</v>
      </c>
      <c r="X119" s="257">
        <f t="shared" si="41"/>
        <v>0</v>
      </c>
      <c r="Y119" s="257" t="e">
        <f t="shared" si="42"/>
        <v>#VALUE!</v>
      </c>
      <c r="Z119" s="259" t="e">
        <f t="shared" si="19"/>
        <v>#VALUE!</v>
      </c>
    </row>
    <row r="120" spans="1:26" x14ac:dyDescent="0.25">
      <c r="A120" s="293"/>
      <c r="B120" s="293"/>
      <c r="C120" s="257"/>
      <c r="D120" s="257">
        <v>285</v>
      </c>
      <c r="E120" s="257">
        <f t="shared" si="36"/>
        <v>0.88822856765378166</v>
      </c>
      <c r="F120" s="257">
        <f t="shared" si="37"/>
        <v>-0.17090913875443092</v>
      </c>
      <c r="G120" s="259">
        <f t="shared" si="20"/>
        <v>1.0591377064082126</v>
      </c>
      <c r="H120" s="257"/>
      <c r="I120" s="257"/>
      <c r="J120" s="257">
        <v>285</v>
      </c>
      <c r="K120" s="257">
        <f t="shared" si="38"/>
        <v>-1.1117714323462184</v>
      </c>
      <c r="L120" s="257">
        <f t="shared" si="13"/>
        <v>-0.17090913875443092</v>
      </c>
      <c r="M120" s="257">
        <f t="shared" si="14"/>
        <v>-0.94086229359178752</v>
      </c>
      <c r="N120" s="257"/>
      <c r="O120" s="293"/>
      <c r="P120" s="257"/>
      <c r="Q120" s="257">
        <v>285</v>
      </c>
      <c r="R120" s="257">
        <f t="shared" si="39"/>
        <v>0</v>
      </c>
      <c r="S120" s="257" t="e">
        <f t="shared" si="40"/>
        <v>#VALUE!</v>
      </c>
      <c r="T120" s="257" t="e">
        <f t="shared" si="16"/>
        <v>#VALUE!</v>
      </c>
      <c r="U120" s="293"/>
      <c r="V120" s="257"/>
      <c r="W120" s="257">
        <v>285</v>
      </c>
      <c r="X120" s="257">
        <f t="shared" si="41"/>
        <v>0</v>
      </c>
      <c r="Y120" s="257" t="e">
        <f t="shared" si="42"/>
        <v>#VALUE!</v>
      </c>
      <c r="Z120" s="259" t="e">
        <f t="shared" si="19"/>
        <v>#VALUE!</v>
      </c>
    </row>
    <row r="121" spans="1:26" x14ac:dyDescent="0.25">
      <c r="A121" s="293"/>
      <c r="B121" s="293"/>
      <c r="C121" s="257"/>
      <c r="D121" s="257">
        <v>290</v>
      </c>
      <c r="E121" s="257">
        <f t="shared" si="36"/>
        <v>1.0130302149885022</v>
      </c>
      <c r="F121" s="257">
        <f t="shared" si="37"/>
        <v>-0.14350453373076466</v>
      </c>
      <c r="G121" s="259">
        <f t="shared" si="20"/>
        <v>1.1565347487192668</v>
      </c>
      <c r="H121" s="257"/>
      <c r="I121" s="257"/>
      <c r="J121" s="257">
        <v>290</v>
      </c>
      <c r="K121" s="257">
        <f t="shared" si="38"/>
        <v>-0.98696978501149779</v>
      </c>
      <c r="L121" s="257">
        <f t="shared" si="13"/>
        <v>-0.14350453373076466</v>
      </c>
      <c r="M121" s="257">
        <f t="shared" si="14"/>
        <v>-0.84346525128073313</v>
      </c>
      <c r="N121" s="257"/>
      <c r="O121" s="293"/>
      <c r="P121" s="257"/>
      <c r="Q121" s="257">
        <v>290</v>
      </c>
      <c r="R121" s="257">
        <f t="shared" si="39"/>
        <v>0</v>
      </c>
      <c r="S121" s="257" t="e">
        <f t="shared" si="40"/>
        <v>#VALUE!</v>
      </c>
      <c r="T121" s="257" t="e">
        <f t="shared" si="16"/>
        <v>#VALUE!</v>
      </c>
      <c r="U121" s="293"/>
      <c r="V121" s="257"/>
      <c r="W121" s="257">
        <v>290</v>
      </c>
      <c r="X121" s="257">
        <f t="shared" si="41"/>
        <v>0</v>
      </c>
      <c r="Y121" s="257" t="e">
        <f t="shared" si="42"/>
        <v>#VALUE!</v>
      </c>
      <c r="Z121" s="259" t="e">
        <f t="shared" si="19"/>
        <v>#VALUE!</v>
      </c>
    </row>
    <row r="122" spans="1:26" x14ac:dyDescent="0.25">
      <c r="A122" s="293"/>
      <c r="B122" s="293"/>
      <c r="C122" s="257"/>
      <c r="D122" s="257">
        <v>295</v>
      </c>
      <c r="E122" s="257">
        <f t="shared" si="36"/>
        <v>1.1339273926110494</v>
      </c>
      <c r="F122" s="257">
        <f t="shared" si="37"/>
        <v>-0.10862895657077953</v>
      </c>
      <c r="G122" s="259">
        <f t="shared" si="20"/>
        <v>1.2425563491818288</v>
      </c>
      <c r="H122" s="257"/>
      <c r="I122" s="257"/>
      <c r="J122" s="257">
        <v>295</v>
      </c>
      <c r="K122" s="257">
        <f t="shared" si="38"/>
        <v>-0.86607260738895064</v>
      </c>
      <c r="L122" s="257">
        <f t="shared" si="13"/>
        <v>-0.10862895657077953</v>
      </c>
      <c r="M122" s="257">
        <f t="shared" si="14"/>
        <v>-0.75744365081817111</v>
      </c>
      <c r="N122" s="257"/>
      <c r="O122" s="293"/>
      <c r="P122" s="257"/>
      <c r="Q122" s="257">
        <v>295</v>
      </c>
      <c r="R122" s="257">
        <f t="shared" si="39"/>
        <v>0</v>
      </c>
      <c r="S122" s="257" t="e">
        <f t="shared" si="40"/>
        <v>#VALUE!</v>
      </c>
      <c r="T122" s="257" t="e">
        <f t="shared" si="16"/>
        <v>#VALUE!</v>
      </c>
      <c r="U122" s="293"/>
      <c r="V122" s="257"/>
      <c r="W122" s="257">
        <v>295</v>
      </c>
      <c r="X122" s="257">
        <f t="shared" si="41"/>
        <v>0</v>
      </c>
      <c r="Y122" s="257" t="e">
        <f t="shared" si="42"/>
        <v>#VALUE!</v>
      </c>
      <c r="Z122" s="259" t="e">
        <f t="shared" si="19"/>
        <v>#VALUE!</v>
      </c>
    </row>
    <row r="123" spans="1:26" x14ac:dyDescent="0.25">
      <c r="A123" s="293"/>
      <c r="B123" s="293"/>
      <c r="C123" s="257"/>
      <c r="D123" s="257">
        <v>300</v>
      </c>
      <c r="E123" s="257">
        <f t="shared" si="36"/>
        <v>1.2500000000000002</v>
      </c>
      <c r="F123" s="257">
        <f t="shared" si="37"/>
        <v>-6.6547831475112673E-2</v>
      </c>
      <c r="G123" s="259">
        <f t="shared" si="20"/>
        <v>1.3165478314751129</v>
      </c>
      <c r="H123" s="257"/>
      <c r="I123" s="257"/>
      <c r="J123" s="257">
        <v>300</v>
      </c>
      <c r="K123" s="257">
        <f t="shared" si="38"/>
        <v>-0.74999999999999978</v>
      </c>
      <c r="L123" s="257">
        <f t="shared" si="13"/>
        <v>-6.6547831475112673E-2</v>
      </c>
      <c r="M123" s="257">
        <f t="shared" si="14"/>
        <v>-0.6834521685248871</v>
      </c>
      <c r="N123" s="257"/>
      <c r="O123" s="293"/>
      <c r="P123" s="257"/>
      <c r="Q123" s="257">
        <v>300</v>
      </c>
      <c r="R123" s="257">
        <f t="shared" si="39"/>
        <v>0</v>
      </c>
      <c r="S123" s="257" t="e">
        <f t="shared" si="40"/>
        <v>#VALUE!</v>
      </c>
      <c r="T123" s="257" t="e">
        <f t="shared" si="16"/>
        <v>#VALUE!</v>
      </c>
      <c r="U123" s="293"/>
      <c r="V123" s="257"/>
      <c r="W123" s="257">
        <v>300</v>
      </c>
      <c r="X123" s="257">
        <f t="shared" si="41"/>
        <v>0</v>
      </c>
      <c r="Y123" s="257" t="e">
        <f t="shared" si="42"/>
        <v>#VALUE!</v>
      </c>
      <c r="Z123" s="259" t="e">
        <f t="shared" si="19"/>
        <v>#VALUE!</v>
      </c>
    </row>
    <row r="124" spans="1:26" x14ac:dyDescent="0.25">
      <c r="A124" s="293"/>
      <c r="B124" s="293"/>
      <c r="C124" s="257"/>
      <c r="D124" s="257">
        <v>305</v>
      </c>
      <c r="E124" s="257">
        <f t="shared" si="36"/>
        <v>1.3603646545265691</v>
      </c>
      <c r="F124" s="257">
        <f t="shared" si="37"/>
        <v>-1.7581421215020154E-2</v>
      </c>
      <c r="G124" s="259">
        <f t="shared" si="20"/>
        <v>1.3779460757415891</v>
      </c>
      <c r="H124" s="257"/>
      <c r="I124" s="257"/>
      <c r="J124" s="257">
        <v>305</v>
      </c>
      <c r="K124" s="257">
        <f t="shared" si="38"/>
        <v>-0.63963534547343093</v>
      </c>
      <c r="L124" s="257">
        <f t="shared" si="13"/>
        <v>-1.7581421215020154E-2</v>
      </c>
      <c r="M124" s="257">
        <f t="shared" si="14"/>
        <v>-0.62205392425841077</v>
      </c>
      <c r="N124" s="257"/>
      <c r="O124" s="293"/>
      <c r="P124" s="257"/>
      <c r="Q124" s="257">
        <v>305</v>
      </c>
      <c r="R124" s="257">
        <f t="shared" si="39"/>
        <v>0</v>
      </c>
      <c r="S124" s="257" t="e">
        <f t="shared" si="40"/>
        <v>#VALUE!</v>
      </c>
      <c r="T124" s="257" t="e">
        <f t="shared" si="16"/>
        <v>#VALUE!</v>
      </c>
      <c r="U124" s="293"/>
      <c r="V124" s="257"/>
      <c r="W124" s="257">
        <v>305</v>
      </c>
      <c r="X124" s="257">
        <f t="shared" si="41"/>
        <v>0</v>
      </c>
      <c r="Y124" s="257" t="e">
        <f t="shared" si="42"/>
        <v>#VALUE!</v>
      </c>
      <c r="Z124" s="259" t="e">
        <f t="shared" si="19"/>
        <v>#VALUE!</v>
      </c>
    </row>
    <row r="125" spans="1:26" x14ac:dyDescent="0.25">
      <c r="A125" s="293"/>
      <c r="B125" s="293"/>
      <c r="C125" s="257"/>
      <c r="D125" s="257">
        <v>310</v>
      </c>
      <c r="E125" s="257">
        <f t="shared" si="36"/>
        <v>1.4641814145298089</v>
      </c>
      <c r="F125" s="257">
        <f t="shared" si="37"/>
        <v>3.7897610260691827E-2</v>
      </c>
      <c r="G125" s="259">
        <f t="shared" si="20"/>
        <v>1.4262838042691171</v>
      </c>
      <c r="H125" s="257"/>
      <c r="I125" s="257"/>
      <c r="J125" s="257">
        <v>310</v>
      </c>
      <c r="K125" s="257">
        <f t="shared" si="38"/>
        <v>-0.53581858547019112</v>
      </c>
      <c r="L125" s="257">
        <f t="shared" si="13"/>
        <v>3.7897610260691827E-2</v>
      </c>
      <c r="M125" s="257">
        <f t="shared" si="14"/>
        <v>-0.57371619573088295</v>
      </c>
      <c r="N125" s="257"/>
      <c r="O125" s="293"/>
      <c r="P125" s="257"/>
      <c r="Q125" s="257">
        <v>310</v>
      </c>
      <c r="R125" s="257">
        <f t="shared" si="39"/>
        <v>0</v>
      </c>
      <c r="S125" s="257" t="e">
        <f t="shared" si="40"/>
        <v>#VALUE!</v>
      </c>
      <c r="T125" s="257" t="e">
        <f t="shared" si="16"/>
        <v>#VALUE!</v>
      </c>
      <c r="U125" s="293"/>
      <c r="V125" s="257"/>
      <c r="W125" s="257">
        <v>310</v>
      </c>
      <c r="X125" s="257">
        <f t="shared" si="41"/>
        <v>0</v>
      </c>
      <c r="Y125" s="257" t="e">
        <f t="shared" si="42"/>
        <v>#VALUE!</v>
      </c>
      <c r="Z125" s="259" t="e">
        <f t="shared" si="19"/>
        <v>#VALUE!</v>
      </c>
    </row>
    <row r="126" spans="1:26" x14ac:dyDescent="0.25">
      <c r="A126" s="293"/>
      <c r="B126" s="293"/>
      <c r="C126" s="257"/>
      <c r="D126" s="257">
        <v>315</v>
      </c>
      <c r="E126" s="257">
        <f t="shared" si="36"/>
        <v>1.560660171779821</v>
      </c>
      <c r="F126" s="257">
        <f t="shared" si="37"/>
        <v>9.9467034023338119E-2</v>
      </c>
      <c r="G126" s="259">
        <f t="shared" si="20"/>
        <v>1.4611931377564829</v>
      </c>
      <c r="H126" s="257"/>
      <c r="I126" s="257"/>
      <c r="J126" s="257">
        <v>315</v>
      </c>
      <c r="K126" s="257">
        <f t="shared" si="38"/>
        <v>-0.43933982822017903</v>
      </c>
      <c r="L126" s="257">
        <f t="shared" si="13"/>
        <v>9.9467034023338119E-2</v>
      </c>
      <c r="M126" s="257">
        <f t="shared" si="14"/>
        <v>-0.53880686224351715</v>
      </c>
      <c r="N126" s="257"/>
      <c r="O126" s="293"/>
      <c r="P126" s="257"/>
      <c r="Q126" s="257">
        <v>315</v>
      </c>
      <c r="R126" s="257">
        <f t="shared" si="39"/>
        <v>0</v>
      </c>
      <c r="S126" s="257" t="e">
        <f t="shared" si="40"/>
        <v>#VALUE!</v>
      </c>
      <c r="T126" s="257" t="e">
        <f t="shared" si="16"/>
        <v>#VALUE!</v>
      </c>
      <c r="U126" s="293"/>
      <c r="V126" s="257"/>
      <c r="W126" s="257">
        <v>315</v>
      </c>
      <c r="X126" s="257">
        <f t="shared" si="41"/>
        <v>0</v>
      </c>
      <c r="Y126" s="257" t="e">
        <f t="shared" si="42"/>
        <v>#VALUE!</v>
      </c>
      <c r="Z126" s="259" t="e">
        <f t="shared" si="19"/>
        <v>#VALUE!</v>
      </c>
    </row>
    <row r="127" spans="1:26" x14ac:dyDescent="0.25">
      <c r="A127" s="293"/>
      <c r="B127" s="293"/>
      <c r="C127" s="257"/>
      <c r="D127" s="257">
        <v>320</v>
      </c>
      <c r="E127" s="257">
        <f t="shared" si="36"/>
        <v>1.6490666646784666</v>
      </c>
      <c r="F127" s="257">
        <f t="shared" si="37"/>
        <v>0.16665826958145047</v>
      </c>
      <c r="G127" s="259">
        <f t="shared" si="20"/>
        <v>1.4824083950970162</v>
      </c>
      <c r="H127" s="257"/>
      <c r="I127" s="257"/>
      <c r="J127" s="257">
        <v>320</v>
      </c>
      <c r="K127" s="257">
        <f t="shared" si="38"/>
        <v>-0.35093333532153337</v>
      </c>
      <c r="L127" s="257">
        <f t="shared" si="13"/>
        <v>0.16665826958145047</v>
      </c>
      <c r="M127" s="257">
        <f t="shared" si="14"/>
        <v>-0.51759160490298384</v>
      </c>
      <c r="N127" s="257"/>
      <c r="O127" s="293"/>
      <c r="P127" s="257"/>
      <c r="Q127" s="257">
        <v>320</v>
      </c>
      <c r="R127" s="257">
        <f t="shared" si="39"/>
        <v>0</v>
      </c>
      <c r="S127" s="257" t="e">
        <f t="shared" si="40"/>
        <v>#VALUE!</v>
      </c>
      <c r="T127" s="257" t="e">
        <f t="shared" si="16"/>
        <v>#VALUE!</v>
      </c>
      <c r="U127" s="293"/>
      <c r="V127" s="257"/>
      <c r="W127" s="257">
        <v>320</v>
      </c>
      <c r="X127" s="257">
        <f t="shared" si="41"/>
        <v>0</v>
      </c>
      <c r="Y127" s="257" t="e">
        <f t="shared" si="42"/>
        <v>#VALUE!</v>
      </c>
      <c r="Z127" s="259" t="e">
        <f t="shared" si="19"/>
        <v>#VALUE!</v>
      </c>
    </row>
    <row r="128" spans="1:26" x14ac:dyDescent="0.25">
      <c r="A128" s="293"/>
      <c r="B128" s="293"/>
      <c r="C128" s="257"/>
      <c r="D128" s="257">
        <v>325</v>
      </c>
      <c r="E128" s="257">
        <f t="shared" si="36"/>
        <v>1.7287280664334874</v>
      </c>
      <c r="F128" s="257">
        <f t="shared" si="37"/>
        <v>0.23895995106125423</v>
      </c>
      <c r="G128" s="259">
        <f t="shared" si="20"/>
        <v>1.4897681153722333</v>
      </c>
      <c r="H128" s="257"/>
      <c r="I128" s="257"/>
      <c r="J128" s="257">
        <v>325</v>
      </c>
      <c r="K128" s="257">
        <f t="shared" si="38"/>
        <v>-0.27127193356651258</v>
      </c>
      <c r="L128" s="257">
        <f t="shared" ref="L128:L135" si="43">I$63*SIN(J128*PI()/180)+$D$56</f>
        <v>0.23895995106125423</v>
      </c>
      <c r="M128" s="257">
        <f t="shared" ref="M128:M135" si="44">K128-L128</f>
        <v>-0.51023188462776681</v>
      </c>
      <c r="N128" s="257"/>
      <c r="O128" s="293"/>
      <c r="P128" s="257"/>
      <c r="Q128" s="257">
        <v>325</v>
      </c>
      <c r="R128" s="257">
        <f t="shared" si="39"/>
        <v>0</v>
      </c>
      <c r="S128" s="257" t="e">
        <f t="shared" si="40"/>
        <v>#VALUE!</v>
      </c>
      <c r="T128" s="257" t="e">
        <f t="shared" ref="T128:T135" si="45">R128-S128</f>
        <v>#VALUE!</v>
      </c>
      <c r="U128" s="293"/>
      <c r="V128" s="257"/>
      <c r="W128" s="257">
        <v>325</v>
      </c>
      <c r="X128" s="257">
        <f t="shared" si="41"/>
        <v>0</v>
      </c>
      <c r="Y128" s="257" t="e">
        <f t="shared" si="42"/>
        <v>#VALUE!</v>
      </c>
      <c r="Z128" s="259" t="e">
        <f t="shared" ref="Z128:Z135" si="46">X128-Y128</f>
        <v>#VALUE!</v>
      </c>
    </row>
    <row r="129" spans="1:26" x14ac:dyDescent="0.25">
      <c r="A129" s="293"/>
      <c r="B129" s="293"/>
      <c r="C129" s="257"/>
      <c r="D129" s="257">
        <v>330</v>
      </c>
      <c r="E129" s="257">
        <f t="shared" si="36"/>
        <v>1.7990381056766576</v>
      </c>
      <c r="F129" s="257">
        <f t="shared" si="37"/>
        <v>0.31582181900973938</v>
      </c>
      <c r="G129" s="259">
        <f t="shared" ref="G129:G135" si="47">E129-F129</f>
        <v>1.4832162866669183</v>
      </c>
      <c r="H129" s="257"/>
      <c r="I129" s="257"/>
      <c r="J129" s="257">
        <v>330</v>
      </c>
      <c r="K129" s="257">
        <f t="shared" si="38"/>
        <v>-0.20096189432334244</v>
      </c>
      <c r="L129" s="257">
        <f t="shared" si="43"/>
        <v>0.31582181900973938</v>
      </c>
      <c r="M129" s="257">
        <f t="shared" si="44"/>
        <v>-0.51678371333308182</v>
      </c>
      <c r="N129" s="257"/>
      <c r="O129" s="293"/>
      <c r="P129" s="257"/>
      <c r="Q129" s="257">
        <v>330</v>
      </c>
      <c r="R129" s="257">
        <f t="shared" si="39"/>
        <v>0</v>
      </c>
      <c r="S129" s="257" t="e">
        <f t="shared" si="40"/>
        <v>#VALUE!</v>
      </c>
      <c r="T129" s="257" t="e">
        <f t="shared" si="45"/>
        <v>#VALUE!</v>
      </c>
      <c r="U129" s="293"/>
      <c r="V129" s="257"/>
      <c r="W129" s="257">
        <v>330</v>
      </c>
      <c r="X129" s="257">
        <f t="shared" si="41"/>
        <v>0</v>
      </c>
      <c r="Y129" s="257" t="e">
        <f t="shared" si="42"/>
        <v>#VALUE!</v>
      </c>
      <c r="Z129" s="259" t="e">
        <f t="shared" si="46"/>
        <v>#VALUE!</v>
      </c>
    </row>
    <row r="130" spans="1:26" x14ac:dyDescent="0.25">
      <c r="A130" s="293"/>
      <c r="B130" s="293"/>
      <c r="C130" s="257"/>
      <c r="D130" s="257">
        <v>335</v>
      </c>
      <c r="E130" s="257">
        <f t="shared" si="36"/>
        <v>1.8594616805549746</v>
      </c>
      <c r="F130" s="257">
        <f t="shared" si="37"/>
        <v>0.39665890820135297</v>
      </c>
      <c r="G130" s="259">
        <f t="shared" si="47"/>
        <v>1.4628027723536217</v>
      </c>
      <c r="H130" s="257"/>
      <c r="I130" s="257"/>
      <c r="J130" s="257">
        <v>335</v>
      </c>
      <c r="K130" s="257">
        <f t="shared" si="38"/>
        <v>-0.14053831944502537</v>
      </c>
      <c r="L130" s="257">
        <f t="shared" si="43"/>
        <v>0.39665890820135297</v>
      </c>
      <c r="M130" s="257">
        <f t="shared" si="44"/>
        <v>-0.53719722764637834</v>
      </c>
      <c r="N130" s="257"/>
      <c r="O130" s="293"/>
      <c r="P130" s="257"/>
      <c r="Q130" s="257">
        <v>335</v>
      </c>
      <c r="R130" s="257">
        <f t="shared" si="39"/>
        <v>0</v>
      </c>
      <c r="S130" s="257" t="e">
        <f t="shared" si="40"/>
        <v>#VALUE!</v>
      </c>
      <c r="T130" s="257" t="e">
        <f t="shared" si="45"/>
        <v>#VALUE!</v>
      </c>
      <c r="U130" s="293"/>
      <c r="V130" s="257"/>
      <c r="W130" s="257">
        <v>335</v>
      </c>
      <c r="X130" s="257">
        <f t="shared" si="41"/>
        <v>0</v>
      </c>
      <c r="Y130" s="257" t="e">
        <f t="shared" si="42"/>
        <v>#VALUE!</v>
      </c>
      <c r="Z130" s="259" t="e">
        <f t="shared" si="46"/>
        <v>#VALUE!</v>
      </c>
    </row>
    <row r="131" spans="1:26" x14ac:dyDescent="0.25">
      <c r="A131" s="293"/>
      <c r="B131" s="293"/>
      <c r="C131" s="257"/>
      <c r="D131" s="257">
        <v>340</v>
      </c>
      <c r="E131" s="257">
        <f t="shared" si="36"/>
        <v>1.9095389311788626</v>
      </c>
      <c r="F131" s="257">
        <f t="shared" si="37"/>
        <v>0.48085599957657882</v>
      </c>
      <c r="G131" s="259">
        <f t="shared" si="47"/>
        <v>1.4286829316022838</v>
      </c>
      <c r="H131" s="257"/>
      <c r="I131" s="257"/>
      <c r="J131" s="257">
        <v>340</v>
      </c>
      <c r="K131" s="257">
        <f t="shared" si="38"/>
        <v>-9.0461068821137358E-2</v>
      </c>
      <c r="L131" s="257">
        <f t="shared" si="43"/>
        <v>0.48085599957657882</v>
      </c>
      <c r="M131" s="257">
        <f t="shared" si="44"/>
        <v>-0.57131706839771623</v>
      </c>
      <c r="N131" s="257"/>
      <c r="O131" s="293"/>
      <c r="P131" s="257"/>
      <c r="Q131" s="257">
        <v>340</v>
      </c>
      <c r="R131" s="257">
        <f t="shared" si="39"/>
        <v>0</v>
      </c>
      <c r="S131" s="257" t="e">
        <f t="shared" si="40"/>
        <v>#VALUE!</v>
      </c>
      <c r="T131" s="257" t="e">
        <f t="shared" si="45"/>
        <v>#VALUE!</v>
      </c>
      <c r="U131" s="293"/>
      <c r="V131" s="257"/>
      <c r="W131" s="257">
        <v>340</v>
      </c>
      <c r="X131" s="257">
        <f t="shared" si="41"/>
        <v>0</v>
      </c>
      <c r="Y131" s="257" t="e">
        <f t="shared" si="42"/>
        <v>#VALUE!</v>
      </c>
      <c r="Z131" s="259" t="e">
        <f t="shared" si="46"/>
        <v>#VALUE!</v>
      </c>
    </row>
    <row r="132" spans="1:26" x14ac:dyDescent="0.25">
      <c r="A132" s="293"/>
      <c r="B132" s="293"/>
      <c r="C132" s="257"/>
      <c r="D132" s="257">
        <v>345</v>
      </c>
      <c r="E132" s="257">
        <f t="shared" si="36"/>
        <v>1.9488887394336025</v>
      </c>
      <c r="F132" s="257">
        <f t="shared" si="37"/>
        <v>0.56777230243045596</v>
      </c>
      <c r="G132" s="259">
        <f t="shared" si="47"/>
        <v>1.3811164370031466</v>
      </c>
      <c r="H132" s="257"/>
      <c r="I132" s="257"/>
      <c r="J132" s="257">
        <v>345</v>
      </c>
      <c r="K132" s="257">
        <f t="shared" si="38"/>
        <v>-5.1111260566397476E-2</v>
      </c>
      <c r="L132" s="257">
        <f t="shared" si="43"/>
        <v>0.56777230243045596</v>
      </c>
      <c r="M132" s="257">
        <f t="shared" si="44"/>
        <v>-0.61888356299685343</v>
      </c>
      <c r="N132" s="257"/>
      <c r="O132" s="293"/>
      <c r="P132" s="257"/>
      <c r="Q132" s="257">
        <v>345</v>
      </c>
      <c r="R132" s="257">
        <f t="shared" si="39"/>
        <v>0</v>
      </c>
      <c r="S132" s="257" t="e">
        <f t="shared" si="40"/>
        <v>#VALUE!</v>
      </c>
      <c r="T132" s="257" t="e">
        <f t="shared" si="45"/>
        <v>#VALUE!</v>
      </c>
      <c r="U132" s="293"/>
      <c r="V132" s="257"/>
      <c r="W132" s="257">
        <v>345</v>
      </c>
      <c r="X132" s="257">
        <f t="shared" si="41"/>
        <v>0</v>
      </c>
      <c r="Y132" s="257" t="e">
        <f t="shared" si="42"/>
        <v>#VALUE!</v>
      </c>
      <c r="Z132" s="259" t="e">
        <f t="shared" si="46"/>
        <v>#VALUE!</v>
      </c>
    </row>
    <row r="133" spans="1:26" x14ac:dyDescent="0.25">
      <c r="A133" s="293"/>
      <c r="B133" s="293"/>
      <c r="C133" s="257"/>
      <c r="D133" s="257">
        <v>350</v>
      </c>
      <c r="E133" s="257">
        <f t="shared" si="36"/>
        <v>1.9772116295183118</v>
      </c>
      <c r="F133" s="257">
        <f t="shared" si="37"/>
        <v>0.65674633121676784</v>
      </c>
      <c r="G133" s="259">
        <f t="shared" si="47"/>
        <v>1.3204652983015439</v>
      </c>
      <c r="H133" s="257"/>
      <c r="I133" s="257"/>
      <c r="J133" s="257">
        <v>350</v>
      </c>
      <c r="K133" s="257">
        <f t="shared" si="38"/>
        <v>-2.2788370481688247E-2</v>
      </c>
      <c r="L133" s="257">
        <f t="shared" si="43"/>
        <v>0.65674633121676784</v>
      </c>
      <c r="M133" s="257">
        <f t="shared" si="44"/>
        <v>-0.67953470169845609</v>
      </c>
      <c r="N133" s="257"/>
      <c r="O133" s="293"/>
      <c r="P133" s="257"/>
      <c r="Q133" s="257">
        <v>350</v>
      </c>
      <c r="R133" s="257">
        <f t="shared" si="39"/>
        <v>0</v>
      </c>
      <c r="S133" s="257" t="e">
        <f t="shared" si="40"/>
        <v>#VALUE!</v>
      </c>
      <c r="T133" s="257" t="e">
        <f t="shared" si="45"/>
        <v>#VALUE!</v>
      </c>
      <c r="U133" s="293"/>
      <c r="V133" s="257"/>
      <c r="W133" s="257">
        <v>350</v>
      </c>
      <c r="X133" s="257">
        <f t="shared" si="41"/>
        <v>0</v>
      </c>
      <c r="Y133" s="257" t="e">
        <f t="shared" si="42"/>
        <v>#VALUE!</v>
      </c>
      <c r="Z133" s="259" t="e">
        <f t="shared" si="46"/>
        <v>#VALUE!</v>
      </c>
    </row>
    <row r="134" spans="1:26" x14ac:dyDescent="0.25">
      <c r="A134" s="293"/>
      <c r="B134" s="293"/>
      <c r="C134" s="257"/>
      <c r="D134" s="257">
        <v>355</v>
      </c>
      <c r="E134" s="257">
        <f t="shared" si="36"/>
        <v>1.9942920471376184</v>
      </c>
      <c r="F134" s="257">
        <f t="shared" si="37"/>
        <v>0.74710093985246573</v>
      </c>
      <c r="G134" s="259">
        <f t="shared" si="47"/>
        <v>1.2471911072851527</v>
      </c>
      <c r="H134" s="257"/>
      <c r="I134" s="257"/>
      <c r="J134" s="257">
        <v>355</v>
      </c>
      <c r="K134" s="257">
        <f t="shared" si="38"/>
        <v>-5.7079528623815712E-3</v>
      </c>
      <c r="L134" s="257">
        <f t="shared" si="43"/>
        <v>0.74710093985246573</v>
      </c>
      <c r="M134" s="257">
        <f t="shared" si="44"/>
        <v>-0.7528088927148473</v>
      </c>
      <c r="N134" s="257"/>
      <c r="O134" s="293"/>
      <c r="P134" s="257"/>
      <c r="Q134" s="257">
        <v>355</v>
      </c>
      <c r="R134" s="257">
        <f t="shared" si="39"/>
        <v>0</v>
      </c>
      <c r="S134" s="257" t="e">
        <f t="shared" si="40"/>
        <v>#VALUE!</v>
      </c>
      <c r="T134" s="257" t="e">
        <f t="shared" si="45"/>
        <v>#VALUE!</v>
      </c>
      <c r="U134" s="293"/>
      <c r="V134" s="257"/>
      <c r="W134" s="257">
        <v>355</v>
      </c>
      <c r="X134" s="257">
        <f t="shared" si="41"/>
        <v>0</v>
      </c>
      <c r="Y134" s="257" t="e">
        <f t="shared" si="42"/>
        <v>#VALUE!</v>
      </c>
      <c r="Z134" s="259" t="e">
        <f t="shared" si="46"/>
        <v>#VALUE!</v>
      </c>
    </row>
    <row r="135" spans="1:26" ht="15.75" thickBot="1" x14ac:dyDescent="0.3">
      <c r="A135" s="297"/>
      <c r="B135" s="297"/>
      <c r="C135" s="262"/>
      <c r="D135" s="262">
        <v>360</v>
      </c>
      <c r="E135" s="262">
        <f t="shared" si="36"/>
        <v>2</v>
      </c>
      <c r="F135" s="262">
        <f t="shared" si="37"/>
        <v>0.838148475208225</v>
      </c>
      <c r="G135" s="263">
        <f t="shared" si="47"/>
        <v>1.1618515247917749</v>
      </c>
      <c r="H135" s="262"/>
      <c r="I135" s="262"/>
      <c r="J135" s="262">
        <v>360</v>
      </c>
      <c r="K135" s="262">
        <f t="shared" si="38"/>
        <v>0</v>
      </c>
      <c r="L135" s="262">
        <f t="shared" si="43"/>
        <v>0.838148475208225</v>
      </c>
      <c r="M135" s="262">
        <f t="shared" si="44"/>
        <v>-0.838148475208225</v>
      </c>
      <c r="N135" s="262"/>
      <c r="O135" s="297"/>
      <c r="P135" s="262"/>
      <c r="Q135" s="262">
        <v>360</v>
      </c>
      <c r="R135" s="262">
        <f t="shared" si="39"/>
        <v>0</v>
      </c>
      <c r="S135" s="262" t="e">
        <f t="shared" si="40"/>
        <v>#VALUE!</v>
      </c>
      <c r="T135" s="262" t="e">
        <f t="shared" si="45"/>
        <v>#VALUE!</v>
      </c>
      <c r="U135" s="297"/>
      <c r="V135" s="262"/>
      <c r="W135" s="262">
        <v>360</v>
      </c>
      <c r="X135" s="262">
        <f t="shared" si="41"/>
        <v>0</v>
      </c>
      <c r="Y135" s="262" t="e">
        <f t="shared" si="42"/>
        <v>#VALUE!</v>
      </c>
      <c r="Z135" s="263" t="e">
        <f t="shared" si="46"/>
        <v>#VALUE!</v>
      </c>
    </row>
    <row r="136" spans="1:26" x14ac:dyDescent="0.25">
      <c r="S136" s="174"/>
      <c r="T136" s="174"/>
      <c r="U136" s="174"/>
      <c r="V136" s="175"/>
    </row>
    <row r="137" spans="1:26" x14ac:dyDescent="0.25">
      <c r="E137" s="175"/>
      <c r="F137" s="175"/>
      <c r="S137" s="174"/>
      <c r="T137" s="174"/>
      <c r="U137" s="174"/>
      <c r="V137" s="175"/>
    </row>
    <row r="138" spans="1:26" x14ac:dyDescent="0.25">
      <c r="E138" s="175"/>
      <c r="F138" s="175"/>
      <c r="S138" s="174"/>
      <c r="T138" s="174"/>
      <c r="U138" s="174"/>
      <c r="V138" s="175"/>
    </row>
    <row r="139" spans="1:26" x14ac:dyDescent="0.25">
      <c r="E139" s="175"/>
      <c r="F139" s="175"/>
      <c r="S139" s="174"/>
      <c r="T139" s="174"/>
      <c r="U139" s="174"/>
      <c r="V139" s="175"/>
    </row>
    <row r="140" spans="1:26" x14ac:dyDescent="0.25">
      <c r="E140" s="175"/>
      <c r="F140" s="175"/>
      <c r="S140" s="174"/>
      <c r="T140" s="174"/>
      <c r="U140" s="174"/>
      <c r="V140" s="175"/>
    </row>
    <row r="141" spans="1:26" x14ac:dyDescent="0.25">
      <c r="E141" s="175"/>
      <c r="F141" s="175"/>
      <c r="S141" s="174"/>
      <c r="T141" s="174"/>
      <c r="U141" s="174"/>
      <c r="V141" s="175"/>
    </row>
    <row r="142" spans="1:26" x14ac:dyDescent="0.25">
      <c r="E142" s="175"/>
      <c r="F142" s="175"/>
      <c r="S142" s="174"/>
      <c r="T142" s="174"/>
      <c r="U142" s="174"/>
      <c r="V142" s="175"/>
    </row>
    <row r="143" spans="1:26" x14ac:dyDescent="0.25">
      <c r="E143" s="175"/>
      <c r="F143" s="175"/>
      <c r="S143" s="174"/>
      <c r="T143" s="174"/>
      <c r="U143" s="174"/>
      <c r="V143" s="175"/>
    </row>
    <row r="144" spans="1:26" x14ac:dyDescent="0.25">
      <c r="E144" s="175"/>
      <c r="F144" s="175"/>
      <c r="S144" s="174"/>
      <c r="T144" s="174"/>
      <c r="U144" s="174"/>
      <c r="V144" s="175"/>
    </row>
    <row r="145" spans="1:22" x14ac:dyDescent="0.25">
      <c r="E145" s="175"/>
      <c r="F145" s="175"/>
      <c r="S145" s="174"/>
      <c r="T145" s="174"/>
      <c r="U145" s="174"/>
      <c r="V145" s="175"/>
    </row>
    <row r="146" spans="1:22" x14ac:dyDescent="0.25">
      <c r="E146" s="175"/>
      <c r="F146" s="175"/>
      <c r="S146" s="174"/>
      <c r="T146" s="174"/>
      <c r="U146" s="174"/>
      <c r="V146" s="175"/>
    </row>
    <row r="147" spans="1:22" x14ac:dyDescent="0.25">
      <c r="E147" s="175"/>
      <c r="F147" s="175"/>
      <c r="S147" s="174"/>
      <c r="T147" s="298"/>
      <c r="U147" s="176"/>
    </row>
    <row r="148" spans="1:22" x14ac:dyDescent="0.25">
      <c r="E148" s="175"/>
      <c r="F148" s="175"/>
      <c r="S148" s="174"/>
      <c r="T148" s="174"/>
      <c r="U148" s="174"/>
      <c r="V148" s="175"/>
    </row>
    <row r="149" spans="1:22" x14ac:dyDescent="0.25">
      <c r="E149" s="175"/>
      <c r="F149" s="175"/>
      <c r="S149" s="174"/>
      <c r="T149" s="174"/>
      <c r="U149" s="174"/>
      <c r="V149" s="175"/>
    </row>
    <row r="150" spans="1:22" x14ac:dyDescent="0.25">
      <c r="E150" s="175"/>
      <c r="F150" s="175"/>
      <c r="S150" s="174"/>
      <c r="T150" s="174"/>
      <c r="U150" s="174"/>
      <c r="V150" s="175"/>
    </row>
    <row r="151" spans="1:22" x14ac:dyDescent="0.25">
      <c r="E151" s="175"/>
      <c r="F151" s="175"/>
      <c r="S151" s="174"/>
      <c r="T151" s="174"/>
      <c r="U151" s="174"/>
      <c r="V151" s="175"/>
    </row>
    <row r="152" spans="1:22" x14ac:dyDescent="0.25">
      <c r="E152" s="175"/>
      <c r="F152" s="175"/>
      <c r="S152" s="174"/>
      <c r="T152" s="174"/>
      <c r="U152" s="174"/>
      <c r="V152" s="175"/>
    </row>
    <row r="153" spans="1:22" x14ac:dyDescent="0.25">
      <c r="E153" s="175"/>
      <c r="F153" s="175"/>
      <c r="S153" s="174"/>
      <c r="T153" s="174"/>
      <c r="U153" s="174"/>
      <c r="V153" s="175"/>
    </row>
    <row r="154" spans="1:22" x14ac:dyDescent="0.25">
      <c r="E154" s="175"/>
      <c r="F154" s="175"/>
      <c r="S154" s="174"/>
      <c r="T154" s="174"/>
      <c r="U154" s="174"/>
      <c r="V154" s="175"/>
    </row>
    <row r="155" spans="1:22" x14ac:dyDescent="0.25">
      <c r="E155" s="175"/>
      <c r="F155" s="175"/>
      <c r="S155" s="174"/>
      <c r="T155" s="174"/>
      <c r="U155" s="174"/>
      <c r="V155" s="175"/>
    </row>
    <row r="156" spans="1:22" x14ac:dyDescent="0.25">
      <c r="E156" s="175"/>
      <c r="F156" s="298"/>
      <c r="S156" s="174"/>
      <c r="T156" s="174"/>
      <c r="U156" s="174"/>
      <c r="V156" s="175"/>
    </row>
    <row r="157" spans="1:22" x14ac:dyDescent="0.25">
      <c r="E157" s="175"/>
      <c r="S157" s="174"/>
      <c r="T157" s="174"/>
      <c r="U157" s="174"/>
      <c r="V157" s="175"/>
    </row>
    <row r="158" spans="1:22" x14ac:dyDescent="0.25">
      <c r="E158" s="175"/>
      <c r="S158" s="174"/>
      <c r="T158" s="174"/>
      <c r="U158" s="174"/>
      <c r="V158" s="175"/>
    </row>
    <row r="159" spans="1:22" s="298" customFormat="1" x14ac:dyDescent="0.25">
      <c r="A159" s="176"/>
      <c r="B159" s="176"/>
      <c r="C159" s="176"/>
      <c r="D159" s="176"/>
      <c r="E159" s="175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4"/>
    </row>
    <row r="160" spans="1:22" x14ac:dyDescent="0.25">
      <c r="E160" s="175"/>
      <c r="S160" s="174"/>
      <c r="T160" s="174"/>
      <c r="U160" s="174"/>
      <c r="V160" s="175"/>
    </row>
    <row r="161" spans="5:22" x14ac:dyDescent="0.25">
      <c r="E161" s="175"/>
      <c r="S161" s="174"/>
      <c r="T161" s="174"/>
      <c r="U161" s="174"/>
      <c r="V161" s="175"/>
    </row>
    <row r="162" spans="5:22" x14ac:dyDescent="0.25">
      <c r="E162" s="175"/>
      <c r="S162" s="174"/>
      <c r="T162" s="174"/>
      <c r="U162" s="174"/>
      <c r="V162" s="175"/>
    </row>
    <row r="163" spans="5:22" x14ac:dyDescent="0.25">
      <c r="E163" s="175"/>
      <c r="S163" s="174"/>
      <c r="T163" s="174"/>
      <c r="U163" s="174"/>
      <c r="V163" s="175"/>
    </row>
    <row r="164" spans="5:22" x14ac:dyDescent="0.25">
      <c r="E164" s="175"/>
      <c r="S164" s="174"/>
      <c r="T164" s="174"/>
      <c r="U164" s="174"/>
      <c r="V164" s="175"/>
    </row>
    <row r="165" spans="5:22" x14ac:dyDescent="0.25">
      <c r="E165" s="175"/>
      <c r="S165" s="174"/>
      <c r="T165" s="174"/>
      <c r="U165" s="174"/>
      <c r="V165" s="175"/>
    </row>
    <row r="166" spans="5:22" x14ac:dyDescent="0.25">
      <c r="E166" s="175"/>
      <c r="S166" s="174"/>
      <c r="T166" s="174"/>
      <c r="U166" s="174"/>
      <c r="V166" s="175"/>
    </row>
    <row r="167" spans="5:22" x14ac:dyDescent="0.25">
      <c r="E167" s="175"/>
      <c r="S167" s="174"/>
      <c r="T167" s="174"/>
      <c r="U167" s="174"/>
      <c r="V167" s="175"/>
    </row>
    <row r="168" spans="5:22" x14ac:dyDescent="0.25">
      <c r="E168" s="175"/>
      <c r="S168" s="174"/>
      <c r="T168" s="174"/>
      <c r="U168" s="174"/>
      <c r="V168" s="175"/>
    </row>
    <row r="169" spans="5:22" x14ac:dyDescent="0.25">
      <c r="E169" s="175"/>
      <c r="S169" s="174"/>
      <c r="T169" s="174"/>
      <c r="U169" s="174"/>
      <c r="V169" s="175"/>
    </row>
    <row r="170" spans="5:22" x14ac:dyDescent="0.25">
      <c r="E170" s="175"/>
      <c r="S170" s="174"/>
      <c r="T170" s="174"/>
      <c r="U170" s="174"/>
      <c r="V170" s="175"/>
    </row>
    <row r="171" spans="5:22" x14ac:dyDescent="0.25">
      <c r="E171" s="175"/>
      <c r="S171" s="174"/>
      <c r="T171" s="298"/>
      <c r="U171" s="176"/>
    </row>
    <row r="172" spans="5:22" x14ac:dyDescent="0.25">
      <c r="E172" s="175"/>
      <c r="S172" s="174"/>
      <c r="T172" s="174"/>
      <c r="U172" s="174"/>
      <c r="V172" s="175"/>
    </row>
    <row r="173" spans="5:22" x14ac:dyDescent="0.25">
      <c r="E173" s="175"/>
      <c r="S173" s="174"/>
      <c r="T173" s="174"/>
      <c r="U173" s="174"/>
      <c r="V173" s="175"/>
    </row>
    <row r="174" spans="5:22" x14ac:dyDescent="0.25">
      <c r="E174" s="175"/>
      <c r="S174" s="174"/>
      <c r="T174" s="174"/>
      <c r="U174" s="174"/>
      <c r="V174" s="175"/>
    </row>
    <row r="175" spans="5:22" x14ac:dyDescent="0.25">
      <c r="E175" s="175"/>
      <c r="S175" s="174"/>
      <c r="T175" s="174"/>
      <c r="U175" s="174"/>
      <c r="V175" s="175"/>
    </row>
    <row r="176" spans="5:22" x14ac:dyDescent="0.25">
      <c r="E176" s="175"/>
      <c r="S176" s="174"/>
      <c r="T176" s="174"/>
      <c r="U176" s="174"/>
      <c r="V176" s="175"/>
    </row>
    <row r="177" spans="5:22" x14ac:dyDescent="0.25">
      <c r="E177" s="175"/>
      <c r="S177" s="174"/>
      <c r="T177" s="174"/>
      <c r="U177" s="174"/>
      <c r="V177" s="175"/>
    </row>
    <row r="178" spans="5:22" x14ac:dyDescent="0.25">
      <c r="E178" s="175"/>
      <c r="S178" s="174"/>
      <c r="T178" s="174"/>
      <c r="U178" s="174"/>
      <c r="V178" s="175"/>
    </row>
    <row r="179" spans="5:22" x14ac:dyDescent="0.25">
      <c r="E179" s="175"/>
      <c r="S179" s="174"/>
      <c r="T179" s="174"/>
      <c r="U179" s="174"/>
      <c r="V179" s="175"/>
    </row>
    <row r="180" spans="5:22" x14ac:dyDescent="0.25">
      <c r="E180" s="175"/>
      <c r="S180" s="174"/>
      <c r="T180" s="174"/>
      <c r="U180" s="174"/>
      <c r="V180" s="175"/>
    </row>
    <row r="181" spans="5:22" x14ac:dyDescent="0.25">
      <c r="E181" s="175"/>
      <c r="S181" s="174"/>
      <c r="T181" s="174"/>
      <c r="U181" s="174"/>
      <c r="V181" s="175"/>
    </row>
    <row r="182" spans="5:22" x14ac:dyDescent="0.25">
      <c r="E182" s="175"/>
      <c r="S182" s="174"/>
      <c r="T182" s="174"/>
      <c r="U182" s="174"/>
      <c r="V182" s="175"/>
    </row>
    <row r="183" spans="5:22" x14ac:dyDescent="0.25">
      <c r="E183" s="175"/>
      <c r="U183" s="176"/>
    </row>
    <row r="184" spans="5:22" x14ac:dyDescent="0.25">
      <c r="E184" s="175"/>
      <c r="U184" s="176"/>
    </row>
    <row r="185" spans="5:22" x14ac:dyDescent="0.25">
      <c r="E185" s="175"/>
      <c r="U185" s="176"/>
    </row>
    <row r="186" spans="5:22" x14ac:dyDescent="0.25">
      <c r="E186" s="175"/>
      <c r="U186" s="176"/>
    </row>
    <row r="187" spans="5:22" x14ac:dyDescent="0.25">
      <c r="E187" s="175"/>
      <c r="U187" s="176"/>
    </row>
    <row r="188" spans="5:22" x14ac:dyDescent="0.25">
      <c r="E188" s="175"/>
      <c r="U188" s="176"/>
    </row>
    <row r="189" spans="5:22" x14ac:dyDescent="0.25">
      <c r="E189" s="175"/>
      <c r="U189" s="176"/>
    </row>
    <row r="190" spans="5:22" x14ac:dyDescent="0.25">
      <c r="E190" s="175"/>
      <c r="U190" s="176"/>
    </row>
    <row r="191" spans="5:22" x14ac:dyDescent="0.25">
      <c r="E191" s="175"/>
      <c r="U191" s="176"/>
    </row>
    <row r="192" spans="5:22" x14ac:dyDescent="0.25">
      <c r="E192" s="175"/>
      <c r="U192" s="176"/>
    </row>
    <row r="193" spans="5:21" x14ac:dyDescent="0.25">
      <c r="E193" s="175"/>
      <c r="U193" s="176"/>
    </row>
    <row r="194" spans="5:21" x14ac:dyDescent="0.25">
      <c r="E194" s="175"/>
      <c r="U194" s="176"/>
    </row>
    <row r="195" spans="5:21" x14ac:dyDescent="0.25">
      <c r="E195" s="175"/>
      <c r="U195" s="176"/>
    </row>
    <row r="196" spans="5:21" x14ac:dyDescent="0.25">
      <c r="E196" s="175"/>
      <c r="U196" s="176"/>
    </row>
    <row r="197" spans="5:21" x14ac:dyDescent="0.25">
      <c r="E197" s="175"/>
      <c r="U197" s="176"/>
    </row>
    <row r="198" spans="5:21" x14ac:dyDescent="0.25">
      <c r="E198" s="175"/>
      <c r="U198" s="176"/>
    </row>
    <row r="199" spans="5:21" x14ac:dyDescent="0.25">
      <c r="E199" s="175"/>
      <c r="U199" s="176"/>
    </row>
    <row r="200" spans="5:21" x14ac:dyDescent="0.25">
      <c r="E200" s="175"/>
      <c r="U200" s="176"/>
    </row>
    <row r="201" spans="5:21" x14ac:dyDescent="0.25">
      <c r="E201" s="175"/>
      <c r="U201" s="176"/>
    </row>
    <row r="202" spans="5:21" x14ac:dyDescent="0.25">
      <c r="E202" s="175"/>
      <c r="U202" s="176"/>
    </row>
    <row r="203" spans="5:21" x14ac:dyDescent="0.25">
      <c r="E203" s="175"/>
      <c r="U203" s="176"/>
    </row>
    <row r="204" spans="5:21" x14ac:dyDescent="0.25">
      <c r="E204" s="175"/>
      <c r="U204" s="176"/>
    </row>
    <row r="205" spans="5:21" x14ac:dyDescent="0.25">
      <c r="E205" s="175"/>
      <c r="U205" s="176"/>
    </row>
    <row r="206" spans="5:21" x14ac:dyDescent="0.25">
      <c r="E206" s="175"/>
      <c r="U206" s="176"/>
    </row>
    <row r="207" spans="5:21" x14ac:dyDescent="0.25">
      <c r="E207" s="175"/>
      <c r="U207" s="176"/>
    </row>
    <row r="208" spans="5:21" x14ac:dyDescent="0.25">
      <c r="E208" s="175"/>
      <c r="U208" s="176"/>
    </row>
    <row r="209" spans="5:21" x14ac:dyDescent="0.25">
      <c r="E209" s="175"/>
      <c r="U209" s="176"/>
    </row>
    <row r="210" spans="5:21" x14ac:dyDescent="0.25">
      <c r="E210" s="175"/>
      <c r="U210" s="176"/>
    </row>
    <row r="211" spans="5:21" x14ac:dyDescent="0.25">
      <c r="E211" s="175"/>
      <c r="U211" s="176"/>
    </row>
    <row r="212" spans="5:21" x14ac:dyDescent="0.25">
      <c r="E212" s="175"/>
      <c r="U212" s="176"/>
    </row>
    <row r="213" spans="5:21" x14ac:dyDescent="0.25">
      <c r="E213" s="175"/>
      <c r="U213" s="176"/>
    </row>
    <row r="214" spans="5:21" x14ac:dyDescent="0.25">
      <c r="E214" s="175"/>
      <c r="U214" s="176"/>
    </row>
    <row r="215" spans="5:21" x14ac:dyDescent="0.25">
      <c r="E215" s="175"/>
      <c r="U215" s="176"/>
    </row>
    <row r="216" spans="5:21" x14ac:dyDescent="0.25">
      <c r="E216" s="175"/>
      <c r="U216" s="176"/>
    </row>
    <row r="217" spans="5:21" x14ac:dyDescent="0.25">
      <c r="E217" s="175"/>
      <c r="U217" s="176"/>
    </row>
    <row r="218" spans="5:21" x14ac:dyDescent="0.25">
      <c r="E218" s="175"/>
      <c r="U218" s="176"/>
    </row>
    <row r="219" spans="5:21" x14ac:dyDescent="0.25">
      <c r="E219" s="175"/>
      <c r="U219" s="176"/>
    </row>
    <row r="220" spans="5:21" x14ac:dyDescent="0.25">
      <c r="E220" s="175"/>
      <c r="U220" s="176"/>
    </row>
    <row r="221" spans="5:21" x14ac:dyDescent="0.25">
      <c r="E221" s="175"/>
      <c r="U221" s="176"/>
    </row>
    <row r="222" spans="5:21" x14ac:dyDescent="0.25">
      <c r="E222" s="175"/>
      <c r="U222" s="176"/>
    </row>
    <row r="223" spans="5:21" x14ac:dyDescent="0.25">
      <c r="E223" s="175"/>
      <c r="U223" s="176"/>
    </row>
    <row r="224" spans="5:21" x14ac:dyDescent="0.25">
      <c r="E224" s="175"/>
      <c r="U224" s="176"/>
    </row>
    <row r="225" spans="5:21" x14ac:dyDescent="0.25">
      <c r="E225" s="175"/>
      <c r="U225" s="176"/>
    </row>
    <row r="226" spans="5:21" x14ac:dyDescent="0.25">
      <c r="E226" s="175"/>
      <c r="U226" s="176"/>
    </row>
    <row r="227" spans="5:21" x14ac:dyDescent="0.25">
      <c r="E227" s="175"/>
      <c r="U227" s="176"/>
    </row>
    <row r="228" spans="5:21" x14ac:dyDescent="0.25">
      <c r="E228" s="175"/>
      <c r="U228" s="176"/>
    </row>
    <row r="229" spans="5:21" x14ac:dyDescent="0.25">
      <c r="E229" s="175"/>
      <c r="U229" s="176"/>
    </row>
    <row r="230" spans="5:21" x14ac:dyDescent="0.25">
      <c r="E230" s="175"/>
      <c r="U230" s="176"/>
    </row>
    <row r="231" spans="5:21" x14ac:dyDescent="0.25">
      <c r="E231" s="175"/>
      <c r="U231" s="176"/>
    </row>
    <row r="232" spans="5:21" x14ac:dyDescent="0.25">
      <c r="E232" s="175"/>
      <c r="U232" s="176"/>
    </row>
    <row r="233" spans="5:21" x14ac:dyDescent="0.25">
      <c r="E233" s="175"/>
      <c r="U233" s="176"/>
    </row>
    <row r="234" spans="5:21" x14ac:dyDescent="0.25">
      <c r="E234" s="175"/>
      <c r="U234" s="176"/>
    </row>
    <row r="235" spans="5:21" x14ac:dyDescent="0.25">
      <c r="E235" s="175"/>
      <c r="U235" s="176"/>
    </row>
    <row r="236" spans="5:21" x14ac:dyDescent="0.25">
      <c r="E236" s="175"/>
      <c r="U236" s="176"/>
    </row>
    <row r="237" spans="5:21" x14ac:dyDescent="0.25">
      <c r="E237" s="175"/>
      <c r="U237" s="176"/>
    </row>
    <row r="238" spans="5:21" x14ac:dyDescent="0.25">
      <c r="E238" s="175"/>
      <c r="U238" s="176"/>
    </row>
    <row r="239" spans="5:21" x14ac:dyDescent="0.25">
      <c r="E239" s="175"/>
      <c r="U239" s="176"/>
    </row>
    <row r="240" spans="5:21" x14ac:dyDescent="0.25">
      <c r="E240" s="175"/>
      <c r="U240" s="176"/>
    </row>
    <row r="241" spans="5:21" x14ac:dyDescent="0.25">
      <c r="E241" s="175"/>
      <c r="U241" s="176"/>
    </row>
    <row r="242" spans="5:21" x14ac:dyDescent="0.25">
      <c r="E242" s="175"/>
      <c r="U242" s="176"/>
    </row>
    <row r="243" spans="5:21" x14ac:dyDescent="0.25">
      <c r="E243" s="175"/>
      <c r="U243" s="176"/>
    </row>
    <row r="244" spans="5:21" x14ac:dyDescent="0.25">
      <c r="E244" s="175"/>
      <c r="U244" s="176"/>
    </row>
    <row r="245" spans="5:21" x14ac:dyDescent="0.25">
      <c r="E245" s="175"/>
      <c r="U245" s="176"/>
    </row>
    <row r="246" spans="5:21" x14ac:dyDescent="0.25">
      <c r="E246" s="175"/>
      <c r="U246" s="176"/>
    </row>
    <row r="247" spans="5:21" x14ac:dyDescent="0.25">
      <c r="E247" s="175"/>
      <c r="U247" s="176"/>
    </row>
    <row r="248" spans="5:21" x14ac:dyDescent="0.25">
      <c r="E248" s="175"/>
      <c r="U248" s="176"/>
    </row>
    <row r="249" spans="5:21" x14ac:dyDescent="0.25">
      <c r="E249" s="175"/>
      <c r="U249" s="176"/>
    </row>
    <row r="250" spans="5:21" x14ac:dyDescent="0.25">
      <c r="E250" s="175"/>
      <c r="U250" s="176"/>
    </row>
    <row r="251" spans="5:21" x14ac:dyDescent="0.25">
      <c r="E251" s="175"/>
      <c r="U251" s="176"/>
    </row>
    <row r="252" spans="5:21" x14ac:dyDescent="0.25">
      <c r="E252" s="175"/>
      <c r="U252" s="176"/>
    </row>
    <row r="253" spans="5:21" x14ac:dyDescent="0.25">
      <c r="E253" s="175"/>
      <c r="U253" s="176"/>
    </row>
    <row r="254" spans="5:21" x14ac:dyDescent="0.25">
      <c r="E254" s="175"/>
      <c r="U254" s="176"/>
    </row>
    <row r="255" spans="5:21" x14ac:dyDescent="0.25">
      <c r="E255" s="175"/>
      <c r="U255" s="176"/>
    </row>
    <row r="256" spans="5:21" x14ac:dyDescent="0.25">
      <c r="E256" s="175"/>
      <c r="U256" s="176"/>
    </row>
    <row r="257" spans="5:21" x14ac:dyDescent="0.25">
      <c r="E257" s="175"/>
      <c r="U257" s="176"/>
    </row>
    <row r="258" spans="5:21" x14ac:dyDescent="0.25">
      <c r="E258" s="175"/>
      <c r="U258" s="176"/>
    </row>
    <row r="259" spans="5:21" x14ac:dyDescent="0.25">
      <c r="E259" s="175"/>
      <c r="U259" s="176"/>
    </row>
    <row r="260" spans="5:21" x14ac:dyDescent="0.25">
      <c r="E260" s="175"/>
      <c r="U260" s="176"/>
    </row>
    <row r="261" spans="5:21" x14ac:dyDescent="0.25">
      <c r="E261" s="175"/>
      <c r="U261" s="176"/>
    </row>
    <row r="262" spans="5:21" x14ac:dyDescent="0.25">
      <c r="E262" s="175"/>
      <c r="U262" s="176"/>
    </row>
    <row r="263" spans="5:21" x14ac:dyDescent="0.25">
      <c r="E263" s="175"/>
      <c r="U263" s="176"/>
    </row>
    <row r="264" spans="5:21" x14ac:dyDescent="0.25">
      <c r="E264" s="175"/>
      <c r="U264" s="176"/>
    </row>
    <row r="265" spans="5:21" x14ac:dyDescent="0.25">
      <c r="E265" s="175"/>
      <c r="U265" s="176"/>
    </row>
    <row r="266" spans="5:21" x14ac:dyDescent="0.25">
      <c r="E266" s="175"/>
      <c r="U266" s="176"/>
    </row>
    <row r="267" spans="5:21" x14ac:dyDescent="0.25">
      <c r="E267" s="175"/>
      <c r="U267" s="176"/>
    </row>
    <row r="268" spans="5:21" x14ac:dyDescent="0.25">
      <c r="E268" s="175"/>
      <c r="U268" s="176"/>
    </row>
    <row r="269" spans="5:21" x14ac:dyDescent="0.25">
      <c r="E269" s="175"/>
      <c r="U269" s="176"/>
    </row>
    <row r="270" spans="5:21" x14ac:dyDescent="0.25">
      <c r="E270" s="175"/>
      <c r="U270" s="176"/>
    </row>
    <row r="271" spans="5:21" x14ac:dyDescent="0.25">
      <c r="E271" s="175"/>
      <c r="U271" s="176"/>
    </row>
    <row r="272" spans="5:21" x14ac:dyDescent="0.25">
      <c r="E272" s="175"/>
      <c r="U272" s="176"/>
    </row>
    <row r="273" spans="5:21" x14ac:dyDescent="0.25">
      <c r="E273" s="175"/>
      <c r="U273" s="176"/>
    </row>
    <row r="274" spans="5:21" x14ac:dyDescent="0.25">
      <c r="E274" s="175"/>
      <c r="U274" s="176"/>
    </row>
    <row r="275" spans="5:21" x14ac:dyDescent="0.25">
      <c r="E275" s="175"/>
      <c r="U275" s="176"/>
    </row>
    <row r="276" spans="5:21" x14ac:dyDescent="0.25">
      <c r="E276" s="175"/>
      <c r="U276" s="176"/>
    </row>
    <row r="277" spans="5:21" x14ac:dyDescent="0.25">
      <c r="E277" s="175"/>
      <c r="U277" s="176"/>
    </row>
    <row r="278" spans="5:21" x14ac:dyDescent="0.25">
      <c r="E278" s="175"/>
      <c r="U278" s="176"/>
    </row>
    <row r="279" spans="5:21" x14ac:dyDescent="0.25">
      <c r="E279" s="175"/>
      <c r="U279" s="176"/>
    </row>
    <row r="280" spans="5:21" x14ac:dyDescent="0.25">
      <c r="E280" s="175"/>
      <c r="U280" s="176"/>
    </row>
    <row r="281" spans="5:21" x14ac:dyDescent="0.25">
      <c r="E281" s="175"/>
      <c r="U281" s="176"/>
    </row>
    <row r="282" spans="5:21" x14ac:dyDescent="0.25">
      <c r="E282" s="175"/>
      <c r="U282" s="176"/>
    </row>
    <row r="283" spans="5:21" x14ac:dyDescent="0.25">
      <c r="E283" s="175"/>
      <c r="U283" s="176"/>
    </row>
    <row r="284" spans="5:21" x14ac:dyDescent="0.25">
      <c r="E284" s="175"/>
      <c r="U284" s="176"/>
    </row>
    <row r="285" spans="5:21" x14ac:dyDescent="0.25">
      <c r="E285" s="175"/>
      <c r="U285" s="176"/>
    </row>
    <row r="286" spans="5:21" x14ac:dyDescent="0.25">
      <c r="E286" s="175"/>
      <c r="U286" s="176"/>
    </row>
    <row r="287" spans="5:21" x14ac:dyDescent="0.25">
      <c r="E287" s="175"/>
      <c r="U287" s="176"/>
    </row>
    <row r="288" spans="5:21" x14ac:dyDescent="0.25">
      <c r="E288" s="175"/>
      <c r="U288" s="176"/>
    </row>
    <row r="289" spans="5:21" x14ac:dyDescent="0.25">
      <c r="E289" s="175"/>
      <c r="U289" s="176"/>
    </row>
    <row r="290" spans="5:21" x14ac:dyDescent="0.25">
      <c r="E290" s="175"/>
      <c r="U290" s="176"/>
    </row>
    <row r="291" spans="5:21" x14ac:dyDescent="0.25">
      <c r="E291" s="175"/>
      <c r="U291" s="176"/>
    </row>
    <row r="292" spans="5:21" x14ac:dyDescent="0.25">
      <c r="E292" s="175"/>
      <c r="U292" s="176"/>
    </row>
    <row r="293" spans="5:21" x14ac:dyDescent="0.25">
      <c r="E293" s="175"/>
      <c r="U293" s="176"/>
    </row>
    <row r="294" spans="5:21" x14ac:dyDescent="0.25">
      <c r="E294" s="175"/>
      <c r="U294" s="176"/>
    </row>
    <row r="295" spans="5:21" x14ac:dyDescent="0.25">
      <c r="E295" s="175"/>
      <c r="U295" s="176"/>
    </row>
    <row r="296" spans="5:21" x14ac:dyDescent="0.25">
      <c r="E296" s="175"/>
      <c r="U296" s="176"/>
    </row>
    <row r="297" spans="5:21" x14ac:dyDescent="0.25">
      <c r="E297" s="175"/>
      <c r="U297" s="176"/>
    </row>
    <row r="298" spans="5:21" x14ac:dyDescent="0.25">
      <c r="E298" s="175"/>
      <c r="U298" s="176"/>
    </row>
    <row r="299" spans="5:21" x14ac:dyDescent="0.25">
      <c r="E299" s="175"/>
      <c r="U299" s="176"/>
    </row>
    <row r="300" spans="5:21" x14ac:dyDescent="0.25">
      <c r="E300" s="175"/>
      <c r="U300" s="176"/>
    </row>
    <row r="301" spans="5:21" x14ac:dyDescent="0.25">
      <c r="E301" s="175"/>
      <c r="U301" s="176"/>
    </row>
    <row r="302" spans="5:21" x14ac:dyDescent="0.25">
      <c r="E302" s="175"/>
      <c r="U302" s="176"/>
    </row>
    <row r="303" spans="5:21" x14ac:dyDescent="0.25">
      <c r="E303" s="175"/>
      <c r="U303" s="176"/>
    </row>
    <row r="304" spans="5:21" x14ac:dyDescent="0.25">
      <c r="E304" s="175"/>
      <c r="U304" s="176"/>
    </row>
    <row r="305" spans="5:21" x14ac:dyDescent="0.25">
      <c r="E305" s="175"/>
      <c r="U305" s="176"/>
    </row>
    <row r="306" spans="5:21" x14ac:dyDescent="0.25">
      <c r="E306" s="175"/>
      <c r="U306" s="176"/>
    </row>
    <row r="307" spans="5:21" x14ac:dyDescent="0.25">
      <c r="E307" s="175"/>
      <c r="U307" s="176"/>
    </row>
    <row r="308" spans="5:21" x14ac:dyDescent="0.25">
      <c r="E308" s="175"/>
      <c r="U308" s="176"/>
    </row>
    <row r="309" spans="5:21" x14ac:dyDescent="0.25">
      <c r="E309" s="175"/>
      <c r="U309" s="176"/>
    </row>
    <row r="310" spans="5:21" x14ac:dyDescent="0.25">
      <c r="E310" s="175"/>
      <c r="U310" s="176"/>
    </row>
  </sheetData>
  <sheetProtection password="B1A0" sheet="1" scenarios="1" formatCells="0" formatColumns="0" formatRows="0"/>
  <mergeCells count="2">
    <mergeCell ref="D5:E5"/>
    <mergeCell ref="F5:G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55"/>
  <sheetViews>
    <sheetView zoomScaleNormal="100" workbookViewId="0">
      <selection activeCell="C23" sqref="C23"/>
    </sheetView>
  </sheetViews>
  <sheetFormatPr defaultColWidth="9.140625" defaultRowHeight="15" x14ac:dyDescent="0.25"/>
  <cols>
    <col min="1" max="1" width="34.140625" customWidth="1"/>
    <col min="2" max="2" width="66.140625" customWidth="1"/>
    <col min="3" max="3" width="22.5703125" customWidth="1"/>
    <col min="4" max="4" width="13.140625" customWidth="1"/>
    <col min="6" max="6" width="18.85546875" customWidth="1"/>
    <col min="7" max="7" width="15.85546875" customWidth="1"/>
    <col min="8" max="8" width="17.42578125" customWidth="1"/>
  </cols>
  <sheetData>
    <row r="1" spans="1:3" x14ac:dyDescent="0.25">
      <c r="A1" s="1" t="s">
        <v>51</v>
      </c>
      <c r="B1" s="1" t="s">
        <v>52</v>
      </c>
      <c r="C1" t="s">
        <v>82</v>
      </c>
    </row>
    <row r="2" spans="1:3" x14ac:dyDescent="0.25">
      <c r="A2" s="2" t="s">
        <v>31</v>
      </c>
      <c r="B2" s="359" t="s">
        <v>54</v>
      </c>
    </row>
    <row r="3" spans="1:3" x14ac:dyDescent="0.25">
      <c r="A3" s="2">
        <v>60</v>
      </c>
      <c r="B3" s="359"/>
    </row>
    <row r="4" spans="1:3" x14ac:dyDescent="0.25">
      <c r="A4" s="2" t="s">
        <v>26</v>
      </c>
      <c r="B4" s="359" t="s">
        <v>55</v>
      </c>
    </row>
    <row r="5" spans="1:3" x14ac:dyDescent="0.25">
      <c r="A5" s="2">
        <v>0.4</v>
      </c>
      <c r="B5" s="359"/>
    </row>
    <row r="6" spans="1:3" x14ac:dyDescent="0.25">
      <c r="A6" t="s">
        <v>27</v>
      </c>
      <c r="B6" s="359" t="s">
        <v>56</v>
      </c>
    </row>
    <row r="7" spans="1:3" x14ac:dyDescent="0.25">
      <c r="A7" s="2">
        <v>0.02</v>
      </c>
      <c r="B7" s="359"/>
    </row>
    <row r="8" spans="1:3" x14ac:dyDescent="0.25">
      <c r="A8" s="2" t="s">
        <v>188</v>
      </c>
      <c r="B8" s="359" t="s">
        <v>190</v>
      </c>
    </row>
    <row r="9" spans="1:3" x14ac:dyDescent="0.25">
      <c r="A9" s="2">
        <v>10</v>
      </c>
      <c r="B9" s="359"/>
    </row>
    <row r="10" spans="1:3" x14ac:dyDescent="0.25">
      <c r="A10" s="2" t="s">
        <v>189</v>
      </c>
      <c r="B10" s="359" t="s">
        <v>191</v>
      </c>
    </row>
    <row r="11" spans="1:3" x14ac:dyDescent="0.25">
      <c r="A11" s="2">
        <v>2</v>
      </c>
      <c r="B11" s="359"/>
    </row>
    <row r="12" spans="1:3" x14ac:dyDescent="0.25">
      <c r="A12" s="2" t="s">
        <v>28</v>
      </c>
      <c r="B12" s="359" t="s">
        <v>172</v>
      </c>
    </row>
    <row r="13" spans="1:3" x14ac:dyDescent="0.25">
      <c r="A13" s="2">
        <v>0.05</v>
      </c>
      <c r="B13" s="359"/>
    </row>
    <row r="14" spans="1:3" x14ac:dyDescent="0.25">
      <c r="A14" s="2" t="s">
        <v>29</v>
      </c>
      <c r="B14" s="359" t="s">
        <v>173</v>
      </c>
    </row>
    <row r="15" spans="1:3" x14ac:dyDescent="0.25">
      <c r="A15" s="2">
        <v>0.5</v>
      </c>
      <c r="B15" s="359"/>
    </row>
    <row r="16" spans="1:3" ht="15" customHeight="1" x14ac:dyDescent="0.25">
      <c r="A16" s="2" t="s">
        <v>30</v>
      </c>
      <c r="B16" s="359" t="s">
        <v>174</v>
      </c>
    </row>
    <row r="17" spans="1:3" x14ac:dyDescent="0.25">
      <c r="A17" s="2">
        <v>0.1</v>
      </c>
      <c r="B17" s="359"/>
    </row>
    <row r="18" spans="1:3" x14ac:dyDescent="0.25">
      <c r="A18" s="2" t="s">
        <v>38</v>
      </c>
      <c r="B18" s="359" t="s">
        <v>53</v>
      </c>
    </row>
    <row r="19" spans="1:3" x14ac:dyDescent="0.25">
      <c r="A19" s="2">
        <v>3</v>
      </c>
      <c r="B19" s="359"/>
    </row>
    <row r="20" spans="1:3" ht="15" customHeight="1" x14ac:dyDescent="0.25">
      <c r="A20" t="s">
        <v>87</v>
      </c>
      <c r="B20" s="359" t="s">
        <v>175</v>
      </c>
      <c r="C20" t="s">
        <v>132</v>
      </c>
    </row>
    <row r="21" spans="1:3" x14ac:dyDescent="0.25">
      <c r="A21" s="4">
        <f>2/9</f>
        <v>0.22222222222222221</v>
      </c>
      <c r="B21" s="359"/>
    </row>
    <row r="22" spans="1:3" ht="15" customHeight="1" x14ac:dyDescent="0.25">
      <c r="A22" t="s">
        <v>88</v>
      </c>
      <c r="B22" s="359" t="s">
        <v>176</v>
      </c>
      <c r="C22" t="s">
        <v>132</v>
      </c>
    </row>
    <row r="23" spans="1:3" x14ac:dyDescent="0.25">
      <c r="A23" s="4">
        <f>5^(1/NORMSINV(0.95))</f>
        <v>2.6603794803447594</v>
      </c>
      <c r="B23" s="359"/>
    </row>
    <row r="24" spans="1:3" x14ac:dyDescent="0.25">
      <c r="A24" t="s">
        <v>85</v>
      </c>
      <c r="B24" s="359" t="s">
        <v>177</v>
      </c>
      <c r="C24" t="s">
        <v>132</v>
      </c>
    </row>
    <row r="25" spans="1:3" x14ac:dyDescent="0.25">
      <c r="A25">
        <f>2/3</f>
        <v>0.66666666666666663</v>
      </c>
      <c r="B25" s="359"/>
    </row>
    <row r="26" spans="1:3" ht="15" customHeight="1" x14ac:dyDescent="0.25">
      <c r="A26" t="s">
        <v>86</v>
      </c>
      <c r="B26" s="359" t="s">
        <v>178</v>
      </c>
      <c r="C26" t="s">
        <v>132</v>
      </c>
    </row>
    <row r="27" spans="1:3" x14ac:dyDescent="0.25">
      <c r="A27" s="3">
        <f>4.7^(1/NORMSINV(0.95))</f>
        <v>2.5621614021421317</v>
      </c>
      <c r="B27" s="359"/>
    </row>
    <row r="28" spans="1:3" x14ac:dyDescent="0.25">
      <c r="A28" t="s">
        <v>67</v>
      </c>
      <c r="B28" s="359" t="s">
        <v>179</v>
      </c>
      <c r="C28" t="s">
        <v>132</v>
      </c>
    </row>
    <row r="29" spans="1:3" x14ac:dyDescent="0.25">
      <c r="A29" s="3">
        <f>1/3</f>
        <v>0.33333333333333331</v>
      </c>
      <c r="B29" s="359"/>
    </row>
    <row r="30" spans="1:3" ht="15" customHeight="1" x14ac:dyDescent="0.25">
      <c r="A30" t="s">
        <v>68</v>
      </c>
      <c r="B30" s="359" t="s">
        <v>180</v>
      </c>
      <c r="C30" t="s">
        <v>132</v>
      </c>
    </row>
    <row r="31" spans="1:3" x14ac:dyDescent="0.25">
      <c r="A31" s="3">
        <f>4.7^(1/NORMSINV(0.95))</f>
        <v>2.5621614021421317</v>
      </c>
      <c r="B31" s="359"/>
    </row>
    <row r="32" spans="1:3" x14ac:dyDescent="0.25">
      <c r="A32" t="s">
        <v>66</v>
      </c>
      <c r="B32" s="359" t="s">
        <v>181</v>
      </c>
      <c r="C32" t="s">
        <v>132</v>
      </c>
    </row>
    <row r="33" spans="1:3" x14ac:dyDescent="0.25">
      <c r="A33">
        <f>1/3</f>
        <v>0.33333333333333331</v>
      </c>
      <c r="B33" s="359"/>
    </row>
    <row r="34" spans="1:3" ht="15" customHeight="1" x14ac:dyDescent="0.25">
      <c r="A34" t="s">
        <v>105</v>
      </c>
      <c r="B34" s="359" t="s">
        <v>182</v>
      </c>
      <c r="C34" t="s">
        <v>132</v>
      </c>
    </row>
    <row r="35" spans="1:3" x14ac:dyDescent="0.25">
      <c r="A35" s="4">
        <f>7^(1/NORMSINV(0.95))</f>
        <v>3.2642478524461147</v>
      </c>
      <c r="B35" s="359"/>
    </row>
    <row r="36" spans="1:3" x14ac:dyDescent="0.25">
      <c r="A36" s="2" t="s">
        <v>32</v>
      </c>
      <c r="B36" s="359" t="s">
        <v>57</v>
      </c>
      <c r="C36" t="s">
        <v>132</v>
      </c>
    </row>
    <row r="37" spans="1:3" x14ac:dyDescent="0.25">
      <c r="A37" s="2">
        <v>0.7</v>
      </c>
      <c r="B37" s="359"/>
    </row>
    <row r="38" spans="1:3" x14ac:dyDescent="0.25">
      <c r="A38" s="2" t="s">
        <v>33</v>
      </c>
      <c r="B38" s="359" t="s">
        <v>151</v>
      </c>
      <c r="C38" t="s">
        <v>132</v>
      </c>
    </row>
    <row r="39" spans="1:3" x14ac:dyDescent="0.25">
      <c r="A39" s="5">
        <f>0.04/NORMSINV(0.95)</f>
        <v>2.4318273276470775E-2</v>
      </c>
      <c r="B39" s="359"/>
    </row>
    <row r="40" spans="1:3" x14ac:dyDescent="0.25">
      <c r="A40" s="2" t="s">
        <v>39</v>
      </c>
      <c r="B40" s="359" t="s">
        <v>58</v>
      </c>
      <c r="C40" t="s">
        <v>132</v>
      </c>
    </row>
    <row r="41" spans="1:3" x14ac:dyDescent="0.25">
      <c r="A41" s="2">
        <v>1</v>
      </c>
      <c r="B41" s="359"/>
    </row>
    <row r="42" spans="1:3" x14ac:dyDescent="0.25">
      <c r="A42" s="2" t="s">
        <v>34</v>
      </c>
      <c r="B42" s="359" t="s">
        <v>59</v>
      </c>
      <c r="C42" t="s">
        <v>132</v>
      </c>
    </row>
    <row r="43" spans="1:3" x14ac:dyDescent="0.25">
      <c r="A43" s="4">
        <f>3^(1/NORMSINV(0.95))</f>
        <v>1.9501549803459444</v>
      </c>
      <c r="B43" s="359"/>
    </row>
    <row r="44" spans="1:3" x14ac:dyDescent="0.25">
      <c r="A44" t="s">
        <v>133</v>
      </c>
      <c r="B44" s="359" t="s">
        <v>152</v>
      </c>
      <c r="C44" t="s">
        <v>132</v>
      </c>
    </row>
    <row r="45" spans="1:3" x14ac:dyDescent="0.25">
      <c r="A45" s="6">
        <f>0.324</f>
        <v>0.32400000000000001</v>
      </c>
      <c r="B45" s="359"/>
    </row>
    <row r="46" spans="1:3" x14ac:dyDescent="0.25">
      <c r="A46" t="s">
        <v>134</v>
      </c>
      <c r="B46" s="359" t="s">
        <v>153</v>
      </c>
      <c r="C46" t="s">
        <v>132</v>
      </c>
    </row>
    <row r="47" spans="1:3" x14ac:dyDescent="0.25">
      <c r="A47" s="4">
        <f>2.152^(1/NORMSINV(0.95))</f>
        <v>1.5935060994863979</v>
      </c>
      <c r="B47" s="359"/>
    </row>
    <row r="48" spans="1:3" x14ac:dyDescent="0.25">
      <c r="A48" t="s">
        <v>75</v>
      </c>
      <c r="B48" s="359" t="s">
        <v>79</v>
      </c>
      <c r="C48" t="s">
        <v>132</v>
      </c>
    </row>
    <row r="49" spans="1:3" x14ac:dyDescent="0.25">
      <c r="A49" s="2">
        <v>2</v>
      </c>
      <c r="B49" s="359"/>
    </row>
    <row r="50" spans="1:3" x14ac:dyDescent="0.25">
      <c r="A50" t="s">
        <v>76</v>
      </c>
      <c r="B50" s="359" t="s">
        <v>80</v>
      </c>
      <c r="C50" t="s">
        <v>132</v>
      </c>
    </row>
    <row r="51" spans="1:3" x14ac:dyDescent="0.25">
      <c r="A51" s="4">
        <f>4^(1/NORMSINV(0.95))</f>
        <v>2.3228784501035764</v>
      </c>
      <c r="B51" s="359"/>
    </row>
    <row r="52" spans="1:3" x14ac:dyDescent="0.25">
      <c r="A52" t="s">
        <v>77</v>
      </c>
      <c r="B52" s="359" t="s">
        <v>154</v>
      </c>
      <c r="C52" t="s">
        <v>132</v>
      </c>
    </row>
    <row r="53" spans="1:3" x14ac:dyDescent="0.25">
      <c r="A53">
        <v>5</v>
      </c>
      <c r="B53" s="359"/>
    </row>
    <row r="54" spans="1:3" x14ac:dyDescent="0.25">
      <c r="A54" t="s">
        <v>78</v>
      </c>
      <c r="B54" s="359" t="s">
        <v>81</v>
      </c>
      <c r="C54" t="s">
        <v>132</v>
      </c>
    </row>
    <row r="55" spans="1:3" x14ac:dyDescent="0.25">
      <c r="A55" s="3">
        <f>8^(1/NORMSINV(0.95))</f>
        <v>3.5402972474451615</v>
      </c>
      <c r="B55" s="359"/>
    </row>
  </sheetData>
  <sheetProtection password="C8B5" sheet="1" objects="1" scenarios="1" formatCells="0" formatColumns="0" formatRows="0"/>
  <mergeCells count="27">
    <mergeCell ref="B54:B55"/>
    <mergeCell ref="B46:B47"/>
    <mergeCell ref="B50:B51"/>
    <mergeCell ref="B52:B53"/>
    <mergeCell ref="B30:B31"/>
    <mergeCell ref="B36:B37"/>
    <mergeCell ref="B38:B39"/>
    <mergeCell ref="B40:B41"/>
    <mergeCell ref="B18:B19"/>
    <mergeCell ref="B20:B21"/>
    <mergeCell ref="B42:B43"/>
    <mergeCell ref="B48:B49"/>
    <mergeCell ref="B32:B33"/>
    <mergeCell ref="B34:B35"/>
    <mergeCell ref="B44:B45"/>
    <mergeCell ref="B24:B25"/>
    <mergeCell ref="B26:B27"/>
    <mergeCell ref="B28:B29"/>
    <mergeCell ref="B22:B23"/>
    <mergeCell ref="B16:B17"/>
    <mergeCell ref="B12:B13"/>
    <mergeCell ref="B2:B3"/>
    <mergeCell ref="B4:B5"/>
    <mergeCell ref="B6:B7"/>
    <mergeCell ref="B14:B15"/>
    <mergeCell ref="B8:B9"/>
    <mergeCell ref="B10:B11"/>
  </mergeCells>
  <phoneticPr fontId="10" type="noConversion"/>
  <pageMargins left="0.7" right="0.7" top="0.75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5"/>
  <sheetViews>
    <sheetView workbookViewId="0">
      <selection activeCell="D7" sqref="D7"/>
    </sheetView>
  </sheetViews>
  <sheetFormatPr defaultColWidth="9.140625" defaultRowHeight="15" x14ac:dyDescent="0.25"/>
  <cols>
    <col min="1" max="1" width="21.85546875" customWidth="1"/>
    <col min="2" max="6" width="15.85546875" customWidth="1"/>
  </cols>
  <sheetData>
    <row r="1" spans="1:6" x14ac:dyDescent="0.25">
      <c r="A1" s="1" t="s">
        <v>7</v>
      </c>
      <c r="B1" s="1" t="s">
        <v>18</v>
      </c>
      <c r="C1" s="1" t="s">
        <v>13</v>
      </c>
      <c r="D1" s="1" t="s">
        <v>14</v>
      </c>
      <c r="E1" s="1" t="s">
        <v>8</v>
      </c>
      <c r="F1" s="1"/>
    </row>
    <row r="2" spans="1:6" x14ac:dyDescent="0.25">
      <c r="A2" t="s">
        <v>5</v>
      </c>
      <c r="B2" t="s">
        <v>19</v>
      </c>
      <c r="C2" t="s">
        <v>20</v>
      </c>
      <c r="D2" t="s">
        <v>15</v>
      </c>
      <c r="E2" t="s">
        <v>2</v>
      </c>
    </row>
    <row r="3" spans="1:6" x14ac:dyDescent="0.25">
      <c r="A3" t="s">
        <v>161</v>
      </c>
      <c r="B3" t="s">
        <v>112</v>
      </c>
      <c r="C3" t="s">
        <v>21</v>
      </c>
      <c r="D3" t="s">
        <v>16</v>
      </c>
      <c r="E3" t="s">
        <v>3</v>
      </c>
    </row>
    <row r="4" spans="1:6" x14ac:dyDescent="0.25">
      <c r="A4" t="s">
        <v>162</v>
      </c>
      <c r="B4" t="s">
        <v>113</v>
      </c>
      <c r="C4" t="s">
        <v>22</v>
      </c>
      <c r="D4" t="s">
        <v>186</v>
      </c>
      <c r="E4" t="s">
        <v>185</v>
      </c>
    </row>
    <row r="5" spans="1:6" x14ac:dyDescent="0.25">
      <c r="C5" t="s">
        <v>37</v>
      </c>
      <c r="D5" t="s">
        <v>187</v>
      </c>
    </row>
  </sheetData>
  <sheetProtection password="C8B5" sheet="1" objects="1" scenarios="1"/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37</vt:i4>
      </vt:variant>
    </vt:vector>
  </HeadingPairs>
  <TitlesOfParts>
    <vt:vector size="41" baseType="lpstr">
      <vt:lpstr>Wksht.LCL,UCL</vt:lpstr>
      <vt:lpstr>Expo</vt:lpstr>
      <vt:lpstr>Provisional Parameter Values</vt:lpstr>
      <vt:lpstr>Pick Lists</vt:lpstr>
      <vt:lpstr>AllomExponentMedian</vt:lpstr>
      <vt:lpstr>AllomExponentSD</vt:lpstr>
      <vt:lpstr>ContBMRDefault</vt:lpstr>
      <vt:lpstr>DataDuration</vt:lpstr>
      <vt:lpstr>DataRoute</vt:lpstr>
      <vt:lpstr>DataSpecies</vt:lpstr>
      <vt:lpstr>DataType</vt:lpstr>
      <vt:lpstr>DogBWDefault</vt:lpstr>
      <vt:lpstr>HumanBWDefault</vt:lpstr>
      <vt:lpstr>InterTKTDGSD</vt:lpstr>
      <vt:lpstr>InterTKTDMedian</vt:lpstr>
      <vt:lpstr>LogGSDHGSDU</vt:lpstr>
      <vt:lpstr>LogGSDHMedian</vt:lpstr>
      <vt:lpstr>MouseBWDefault</vt:lpstr>
      <vt:lpstr>NOAELUncertContChrSubChrGSD</vt:lpstr>
      <vt:lpstr>NOAELUncertContChrSubChrMedian</vt:lpstr>
      <vt:lpstr>NOAELUncertContReproDevGSD</vt:lpstr>
      <vt:lpstr>NOAELUncertContReproDevMedian</vt:lpstr>
      <vt:lpstr>NOAELUncertQuantalDeterGSD</vt:lpstr>
      <vt:lpstr>NOAELUncertQuantalDeterMedian</vt:lpstr>
      <vt:lpstr>NOAELUncertQuantalGSD</vt:lpstr>
      <vt:lpstr>NOAELUncertQuantalMedian</vt:lpstr>
      <vt:lpstr>NOAELUncertQuantalStochGSD</vt:lpstr>
      <vt:lpstr>NOAELUncertQuantalStochMedian</vt:lpstr>
      <vt:lpstr>PODtype</vt:lpstr>
      <vt:lpstr>PODUncertNOAEL</vt:lpstr>
      <vt:lpstr>QuantalDeterNOAELEffectCorrection</vt:lpstr>
      <vt:lpstr>QuantalDeterNOAELEffectCorrGSD</vt:lpstr>
      <vt:lpstr>QuantalDeterNOAELEffectCorrMedian</vt:lpstr>
      <vt:lpstr>QuantDeterBMRDefault</vt:lpstr>
      <vt:lpstr>QuantStochBMRDefault</vt:lpstr>
      <vt:lpstr>RabbitBWDefault</vt:lpstr>
      <vt:lpstr>RatBWDefault</vt:lpstr>
      <vt:lpstr>SubacuteChronicGSD</vt:lpstr>
      <vt:lpstr>SubacuteChronicMedian</vt:lpstr>
      <vt:lpstr>SubchronicChronicGSD</vt:lpstr>
      <vt:lpstr>SubchronicChronicMedian</vt:lpstr>
    </vt:vector>
  </TitlesOfParts>
  <Company>US-EPA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Weihsueh Chiu;Bas Bokkers</dc:creator>
  <cp:lastModifiedBy>BB</cp:lastModifiedBy>
  <cp:lastPrinted>2014-05-23T10:49:13Z</cp:lastPrinted>
  <dcterms:created xsi:type="dcterms:W3CDTF">2013-05-28T16:21:41Z</dcterms:created>
  <dcterms:modified xsi:type="dcterms:W3CDTF">2018-07-11T13:10:06Z</dcterms:modified>
</cp:coreProperties>
</file>